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Asus\Desktop\"/>
    </mc:Choice>
  </mc:AlternateContent>
  <xr:revisionPtr revIDLastSave="0" documentId="13_ncr:1_{A0606407-7BEF-45D7-9658-5DCDF0A0CA0E}" xr6:coauthVersionLast="47" xr6:coauthVersionMax="47" xr10:uidLastSave="{00000000-0000-0000-0000-000000000000}"/>
  <bookViews>
    <workbookView xWindow="28680" yWindow="-120" windowWidth="29040" windowHeight="16440" activeTab="2" xr2:uid="{00000000-000D-0000-FFFF-FFFF00000000}"/>
  </bookViews>
  <sheets>
    <sheet name="Company name" sheetId="6" r:id="rId1"/>
    <sheet name="Inertia Calculator" sheetId="11" r:id="rId2"/>
    <sheet name="Inertia" sheetId="2" r:id="rId3"/>
    <sheet name="Selection" sheetId="14" r:id="rId4"/>
    <sheet name="Offer" sheetId="10" state="hidden" r:id="rId5"/>
    <sheet name="Text" sheetId="12" state="hidden" r:id="rId6"/>
  </sheets>
  <definedNames>
    <definedName name="VelMotore" localSheetId="3">Selection!$D$1</definedName>
    <definedName name="_xlnm.Print_Area" localSheetId="2">Inertia!$A$1:$K$67</definedName>
  </definedNames>
  <calcPr calcId="181029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66" i="2" l="1"/>
  <c r="F49" i="2"/>
  <c r="C246" i="14"/>
  <c r="N23" i="14"/>
  <c r="N24" i="14"/>
  <c r="N25" i="14"/>
  <c r="N26" i="14"/>
  <c r="N27" i="14"/>
  <c r="AF261" i="14" l="1"/>
  <c r="AF260" i="14"/>
  <c r="AF259" i="14"/>
  <c r="AF265" i="14" l="1"/>
  <c r="AF267" i="14" l="1"/>
  <c r="AF266" i="14"/>
  <c r="AF264" i="14"/>
  <c r="AF263" i="14"/>
  <c r="AF262" i="14"/>
  <c r="L260" i="14" l="1"/>
  <c r="M260" i="14"/>
  <c r="N260" i="14"/>
  <c r="L261" i="14"/>
  <c r="M261" i="14"/>
  <c r="N261" i="14"/>
  <c r="L262" i="14"/>
  <c r="M262" i="14"/>
  <c r="N262" i="14"/>
  <c r="L263" i="14"/>
  <c r="M263" i="14"/>
  <c r="N263" i="14"/>
  <c r="L264" i="14"/>
  <c r="M264" i="14"/>
  <c r="N264" i="14"/>
  <c r="M259" i="14"/>
  <c r="N259" i="14"/>
  <c r="L259" i="14"/>
  <c r="N49" i="14"/>
  <c r="N71" i="14" s="1"/>
  <c r="N93" i="14" s="1"/>
  <c r="N115" i="14" s="1"/>
  <c r="N137" i="14" s="1"/>
  <c r="N159" i="14" s="1"/>
  <c r="N181" i="14" s="1"/>
  <c r="N203" i="14" s="1"/>
  <c r="N225" i="14" s="1"/>
  <c r="N28" i="14"/>
  <c r="N50" i="14" s="1"/>
  <c r="N72" i="14" s="1"/>
  <c r="N94" i="14" s="1"/>
  <c r="N116" i="14" s="1"/>
  <c r="N138" i="14" s="1"/>
  <c r="N160" i="14" s="1"/>
  <c r="N182" i="14" s="1"/>
  <c r="N204" i="14" s="1"/>
  <c r="N226" i="14" s="1"/>
  <c r="N29" i="14"/>
  <c r="N30" i="14"/>
  <c r="N31" i="14"/>
  <c r="N53" i="14" s="1"/>
  <c r="N75" i="14" s="1"/>
  <c r="N97" i="14" s="1"/>
  <c r="N119" i="14" s="1"/>
  <c r="N141" i="14" s="1"/>
  <c r="N163" i="14" s="1"/>
  <c r="N185" i="14" s="1"/>
  <c r="N207" i="14" s="1"/>
  <c r="N229" i="14" s="1"/>
  <c r="N32" i="14"/>
  <c r="N54" i="14" s="1"/>
  <c r="N76" i="14" s="1"/>
  <c r="N98" i="14" s="1"/>
  <c r="N120" i="14" s="1"/>
  <c r="N142" i="14" s="1"/>
  <c r="N164" i="14" s="1"/>
  <c r="N186" i="14" s="1"/>
  <c r="N208" i="14" s="1"/>
  <c r="N230" i="14" s="1"/>
  <c r="N33" i="14"/>
  <c r="N55" i="14" s="1"/>
  <c r="N77" i="14" s="1"/>
  <c r="N99" i="14" s="1"/>
  <c r="N121" i="14" s="1"/>
  <c r="N143" i="14" s="1"/>
  <c r="N165" i="14" s="1"/>
  <c r="N187" i="14" s="1"/>
  <c r="N209" i="14" s="1"/>
  <c r="N231" i="14" s="1"/>
  <c r="N34" i="14"/>
  <c r="N35" i="14"/>
  <c r="N57" i="14" s="1"/>
  <c r="N79" i="14" s="1"/>
  <c r="N101" i="14" s="1"/>
  <c r="N123" i="14" s="1"/>
  <c r="N145" i="14" s="1"/>
  <c r="N167" i="14" s="1"/>
  <c r="N189" i="14" s="1"/>
  <c r="N211" i="14" s="1"/>
  <c r="N233" i="14" s="1"/>
  <c r="N36" i="14"/>
  <c r="N58" i="14" s="1"/>
  <c r="N80" i="14" s="1"/>
  <c r="N102" i="14" s="1"/>
  <c r="N124" i="14" s="1"/>
  <c r="N146" i="14" s="1"/>
  <c r="N168" i="14" s="1"/>
  <c r="N190" i="14" s="1"/>
  <c r="N212" i="14" s="1"/>
  <c r="N234" i="14" s="1"/>
  <c r="N37" i="14"/>
  <c r="N38" i="14"/>
  <c r="N39" i="14"/>
  <c r="N61" i="14" s="1"/>
  <c r="N83" i="14" s="1"/>
  <c r="N105" i="14" s="1"/>
  <c r="N127" i="14" s="1"/>
  <c r="N149" i="14" s="1"/>
  <c r="N171" i="14" s="1"/>
  <c r="N193" i="14" s="1"/>
  <c r="N215" i="14" s="1"/>
  <c r="N237" i="14" s="1"/>
  <c r="N40" i="14"/>
  <c r="N62" i="14" s="1"/>
  <c r="N84" i="14" s="1"/>
  <c r="N106" i="14" s="1"/>
  <c r="N128" i="14" s="1"/>
  <c r="N150" i="14" s="1"/>
  <c r="N172" i="14" s="1"/>
  <c r="N194" i="14" s="1"/>
  <c r="N216" i="14" s="1"/>
  <c r="N238" i="14" s="1"/>
  <c r="N41" i="14"/>
  <c r="N63" i="14" s="1"/>
  <c r="N85" i="14" s="1"/>
  <c r="N107" i="14" s="1"/>
  <c r="N129" i="14" s="1"/>
  <c r="N151" i="14" s="1"/>
  <c r="N173" i="14" s="1"/>
  <c r="N195" i="14" s="1"/>
  <c r="N217" i="14" s="1"/>
  <c r="N239" i="14" s="1"/>
  <c r="N42" i="14"/>
  <c r="N43" i="14"/>
  <c r="N65" i="14" s="1"/>
  <c r="N87" i="14" s="1"/>
  <c r="N109" i="14" s="1"/>
  <c r="N131" i="14" s="1"/>
  <c r="N153" i="14" s="1"/>
  <c r="N175" i="14" s="1"/>
  <c r="N197" i="14" s="1"/>
  <c r="N219" i="14" s="1"/>
  <c r="N241" i="14" s="1"/>
  <c r="N44" i="14"/>
  <c r="N66" i="14" s="1"/>
  <c r="N88" i="14" s="1"/>
  <c r="N110" i="14" s="1"/>
  <c r="N132" i="14" s="1"/>
  <c r="N154" i="14" s="1"/>
  <c r="N176" i="14" s="1"/>
  <c r="N198" i="14" s="1"/>
  <c r="N220" i="14" s="1"/>
  <c r="N242" i="14" s="1"/>
  <c r="N45" i="14"/>
  <c r="N46" i="14"/>
  <c r="N47" i="14"/>
  <c r="N69" i="14" s="1"/>
  <c r="N91" i="14" s="1"/>
  <c r="N113" i="14" s="1"/>
  <c r="N135" i="14" s="1"/>
  <c r="N157" i="14" s="1"/>
  <c r="N179" i="14" s="1"/>
  <c r="N201" i="14" s="1"/>
  <c r="N223" i="14" s="1"/>
  <c r="N48" i="14"/>
  <c r="N70" i="14" s="1"/>
  <c r="N92" i="14" s="1"/>
  <c r="N114" i="14" s="1"/>
  <c r="N136" i="14" s="1"/>
  <c r="N158" i="14" s="1"/>
  <c r="N180" i="14" s="1"/>
  <c r="N202" i="14" s="1"/>
  <c r="N224" i="14" s="1"/>
  <c r="N51" i="14"/>
  <c r="N73" i="14" s="1"/>
  <c r="N95" i="14" s="1"/>
  <c r="N117" i="14" s="1"/>
  <c r="N139" i="14" s="1"/>
  <c r="N161" i="14" s="1"/>
  <c r="N183" i="14" s="1"/>
  <c r="N205" i="14" s="1"/>
  <c r="N227" i="14" s="1"/>
  <c r="N52" i="14"/>
  <c r="N74" i="14" s="1"/>
  <c r="N96" i="14" s="1"/>
  <c r="N118" i="14" s="1"/>
  <c r="N140" i="14" s="1"/>
  <c r="N162" i="14" s="1"/>
  <c r="N184" i="14" s="1"/>
  <c r="N206" i="14" s="1"/>
  <c r="N228" i="14" s="1"/>
  <c r="N56" i="14"/>
  <c r="N78" i="14" s="1"/>
  <c r="N100" i="14" s="1"/>
  <c r="N122" i="14" s="1"/>
  <c r="N144" i="14" s="1"/>
  <c r="N166" i="14" s="1"/>
  <c r="N188" i="14" s="1"/>
  <c r="N210" i="14" s="1"/>
  <c r="N232" i="14" s="1"/>
  <c r="N59" i="14"/>
  <c r="N81" i="14" s="1"/>
  <c r="N103" i="14" s="1"/>
  <c r="N125" i="14" s="1"/>
  <c r="N147" i="14" s="1"/>
  <c r="N169" i="14" s="1"/>
  <c r="N191" i="14" s="1"/>
  <c r="N213" i="14" s="1"/>
  <c r="N235" i="14" s="1"/>
  <c r="N60" i="14"/>
  <c r="N82" i="14" s="1"/>
  <c r="N104" i="14" s="1"/>
  <c r="N126" i="14" s="1"/>
  <c r="N148" i="14" s="1"/>
  <c r="N170" i="14" s="1"/>
  <c r="N192" i="14" s="1"/>
  <c r="N214" i="14" s="1"/>
  <c r="N236" i="14" s="1"/>
  <c r="N64" i="14"/>
  <c r="N86" i="14" s="1"/>
  <c r="N108" i="14" s="1"/>
  <c r="N130" i="14" s="1"/>
  <c r="N152" i="14" s="1"/>
  <c r="N174" i="14" s="1"/>
  <c r="N196" i="14" s="1"/>
  <c r="N218" i="14" s="1"/>
  <c r="N240" i="14" s="1"/>
  <c r="N67" i="14"/>
  <c r="N89" i="14" s="1"/>
  <c r="N111" i="14" s="1"/>
  <c r="N133" i="14" s="1"/>
  <c r="N155" i="14" s="1"/>
  <c r="N177" i="14" s="1"/>
  <c r="N199" i="14" s="1"/>
  <c r="N221" i="14" s="1"/>
  <c r="N243" i="14" s="1"/>
  <c r="N68" i="14"/>
  <c r="N90" i="14" s="1"/>
  <c r="N112" i="14" s="1"/>
  <c r="N134" i="14" s="1"/>
  <c r="N156" i="14" s="1"/>
  <c r="N178" i="14" s="1"/>
  <c r="N200" i="14" s="1"/>
  <c r="N222" i="14" s="1"/>
  <c r="I246" i="14"/>
  <c r="G45" i="12" l="1"/>
  <c r="F45" i="12"/>
  <c r="B28" i="6" l="1"/>
  <c r="B2" i="6" s="1"/>
  <c r="A1" i="2" s="1"/>
  <c r="J246" i="14"/>
  <c r="F59" i="2"/>
  <c r="C247" i="14"/>
  <c r="S5" i="11"/>
  <c r="S13" i="11" s="1"/>
  <c r="S6" i="11"/>
  <c r="A3" i="11"/>
  <c r="J9" i="11"/>
  <c r="K9" i="11"/>
  <c r="P9" i="11"/>
  <c r="S9" i="11"/>
  <c r="S7" i="11"/>
  <c r="S8" i="11"/>
  <c r="S10" i="11"/>
  <c r="S11" i="11"/>
  <c r="S12" i="11"/>
  <c r="L47" i="2"/>
  <c r="J49" i="2" s="1"/>
  <c r="M49" i="2" s="1"/>
  <c r="J5" i="11"/>
  <c r="K5" i="11" s="1"/>
  <c r="J6" i="11"/>
  <c r="K6" i="11"/>
  <c r="M6" i="11"/>
  <c r="O6" i="11"/>
  <c r="J10" i="11"/>
  <c r="K10" i="11"/>
  <c r="J12" i="11"/>
  <c r="K12" i="11"/>
  <c r="M12" i="11"/>
  <c r="F56" i="2"/>
  <c r="F55" i="2"/>
  <c r="F57" i="2"/>
  <c r="F58" i="2"/>
  <c r="R5" i="11"/>
  <c r="R13" i="11" s="1"/>
  <c r="R6" i="11"/>
  <c r="R7" i="11"/>
  <c r="R8" i="11"/>
  <c r="M9" i="11"/>
  <c r="O9" i="11"/>
  <c r="R9" i="11"/>
  <c r="R10" i="11"/>
  <c r="R11" i="11"/>
  <c r="R12" i="11"/>
  <c r="M22" i="2"/>
  <c r="M23" i="2"/>
  <c r="M21" i="2"/>
  <c r="M20" i="2"/>
  <c r="M19" i="2"/>
  <c r="N26" i="2"/>
  <c r="N25" i="2"/>
  <c r="N24" i="2"/>
  <c r="N23" i="2"/>
  <c r="N22" i="2"/>
  <c r="N28" i="2"/>
  <c r="F41" i="2"/>
  <c r="F39" i="2"/>
  <c r="D31" i="10" s="1"/>
  <c r="F50" i="2"/>
  <c r="F35" i="2"/>
  <c r="N21" i="2"/>
  <c r="N20" i="2"/>
  <c r="N19" i="2"/>
  <c r="N18" i="2"/>
  <c r="N17" i="2"/>
  <c r="N16" i="2"/>
  <c r="F51" i="2"/>
  <c r="F48" i="2"/>
  <c r="E51" i="2"/>
  <c r="E48" i="2"/>
  <c r="H4" i="12"/>
  <c r="H5" i="12"/>
  <c r="F52" i="2"/>
  <c r="E270" i="14"/>
  <c r="E274" i="14"/>
  <c r="E271" i="14"/>
  <c r="E272" i="14"/>
  <c r="E56" i="2"/>
  <c r="E277" i="14"/>
  <c r="E276" i="14"/>
  <c r="E275" i="14"/>
  <c r="E273" i="14"/>
  <c r="P4" i="11"/>
  <c r="S4" i="11"/>
  <c r="O4" i="11"/>
  <c r="R4" i="11"/>
  <c r="J4" i="11"/>
  <c r="M4" i="11"/>
  <c r="K4" i="11"/>
  <c r="L4" i="11"/>
  <c r="C4" i="11"/>
  <c r="D4" i="11"/>
  <c r="E4" i="11"/>
  <c r="F4" i="11"/>
  <c r="G4" i="11"/>
  <c r="H4" i="11"/>
  <c r="B4" i="11"/>
  <c r="E51" i="10"/>
  <c r="I38" i="2"/>
  <c r="F12" i="10"/>
  <c r="A41" i="10"/>
  <c r="B36" i="10"/>
  <c r="C27" i="10"/>
  <c r="F40" i="10"/>
  <c r="F41" i="10" s="1"/>
  <c r="F43" i="10" s="1"/>
  <c r="D40" i="10"/>
  <c r="D41" i="10"/>
  <c r="D43" i="10"/>
  <c r="D32" i="10"/>
  <c r="B49" i="10"/>
  <c r="A20" i="10"/>
  <c r="G16" i="10"/>
  <c r="G15" i="10"/>
  <c r="G14" i="10"/>
  <c r="G13" i="10"/>
  <c r="F11" i="10"/>
  <c r="F10" i="10"/>
  <c r="E59" i="2"/>
  <c r="E58" i="2"/>
  <c r="F47" i="2"/>
  <c r="H50" i="2"/>
  <c r="H51" i="2"/>
  <c r="H49" i="2"/>
  <c r="E57" i="2"/>
  <c r="E55" i="2"/>
  <c r="E52" i="2"/>
  <c r="E50" i="2"/>
  <c r="E47" i="2"/>
  <c r="E49" i="2"/>
  <c r="H6" i="12"/>
  <c r="P10" i="11"/>
  <c r="M10" i="11"/>
  <c r="O10" i="11"/>
  <c r="P6" i="11"/>
  <c r="O12" i="11"/>
  <c r="P12" i="11"/>
  <c r="J8" i="11"/>
  <c r="K8" i="11"/>
  <c r="H7" i="12"/>
  <c r="H8" i="12"/>
  <c r="H9" i="12"/>
  <c r="H10" i="12"/>
  <c r="H11" i="12"/>
  <c r="H12" i="12"/>
  <c r="H13" i="12"/>
  <c r="H14" i="12"/>
  <c r="P8" i="11"/>
  <c r="M8" i="11"/>
  <c r="O8" i="11"/>
  <c r="J11" i="11"/>
  <c r="K11" i="11"/>
  <c r="J7" i="11"/>
  <c r="K7" i="11"/>
  <c r="M7" i="11"/>
  <c r="O7" i="11"/>
  <c r="P7" i="11"/>
  <c r="M11" i="11"/>
  <c r="O11" i="11"/>
  <c r="P11" i="11"/>
  <c r="H15" i="12"/>
  <c r="H16" i="12"/>
  <c r="H17" i="12"/>
  <c r="H18" i="12"/>
  <c r="H19" i="12"/>
  <c r="H20" i="12"/>
  <c r="H21" i="12"/>
  <c r="H22" i="12"/>
  <c r="H23" i="12"/>
  <c r="H24" i="12"/>
  <c r="H25" i="12"/>
  <c r="H26" i="12"/>
  <c r="H27" i="12"/>
  <c r="H28" i="12"/>
  <c r="H29" i="12"/>
  <c r="H30" i="12"/>
  <c r="H31" i="12"/>
  <c r="H32" i="12"/>
  <c r="H33" i="12"/>
  <c r="H34" i="12"/>
  <c r="H35" i="12"/>
  <c r="H36" i="12"/>
  <c r="H37" i="12"/>
  <c r="H38" i="12"/>
  <c r="H39" i="12"/>
  <c r="H40" i="12"/>
  <c r="I18" i="12"/>
  <c r="I12" i="12"/>
  <c r="I267" i="14"/>
  <c r="H252" i="14"/>
  <c r="I253" i="14"/>
  <c r="I262" i="14"/>
  <c r="H265" i="14"/>
  <c r="H261" i="14"/>
  <c r="I249" i="14"/>
  <c r="I261" i="14"/>
  <c r="I23" i="12"/>
  <c r="H255" i="14"/>
  <c r="H249" i="14"/>
  <c r="I256" i="14"/>
  <c r="I22" i="12"/>
  <c r="I32" i="12"/>
  <c r="I41" i="12"/>
  <c r="H248" i="14"/>
  <c r="I34" i="12"/>
  <c r="I250" i="14"/>
  <c r="H246" i="14"/>
  <c r="I33" i="12"/>
  <c r="I16" i="12"/>
  <c r="I30" i="12"/>
  <c r="I46" i="12"/>
  <c r="I27" i="12"/>
  <c r="I257" i="14"/>
  <c r="I247" i="14"/>
  <c r="I43" i="12"/>
  <c r="I7" i="12"/>
  <c r="I19" i="12"/>
  <c r="H260" i="14"/>
  <c r="H257" i="14"/>
  <c r="I37" i="12"/>
  <c r="I40" i="12"/>
  <c r="H253" i="14"/>
  <c r="I266" i="14"/>
  <c r="I263" i="14"/>
  <c r="I9" i="12"/>
  <c r="I6" i="12"/>
  <c r="I15" i="12"/>
  <c r="I4" i="12"/>
  <c r="H256" i="14"/>
  <c r="H258" i="14"/>
  <c r="I8" i="12"/>
  <c r="H250" i="14"/>
  <c r="I38" i="12"/>
  <c r="I24" i="12"/>
  <c r="H262" i="14"/>
  <c r="I29" i="12"/>
  <c r="I20" i="12"/>
  <c r="I260" i="14"/>
  <c r="H254" i="14"/>
  <c r="I251" i="14"/>
  <c r="H259" i="14"/>
  <c r="H251" i="14"/>
  <c r="I14" i="12"/>
  <c r="I42" i="12"/>
  <c r="I258" i="14"/>
  <c r="I17" i="12"/>
  <c r="I45" i="12"/>
  <c r="H247" i="14"/>
  <c r="I265" i="14"/>
  <c r="I5" i="12"/>
  <c r="I31" i="12"/>
  <c r="I21" i="12"/>
  <c r="I47" i="12"/>
  <c r="I35" i="12"/>
  <c r="I259" i="14"/>
  <c r="H266" i="14"/>
  <c r="H263" i="14"/>
  <c r="I44" i="12"/>
  <c r="I3" i="12"/>
  <c r="I36" i="12"/>
  <c r="I248" i="14"/>
  <c r="I264" i="14"/>
  <c r="I254" i="14"/>
  <c r="I11" i="12"/>
  <c r="I26" i="12"/>
  <c r="I13" i="12"/>
  <c r="I25" i="12"/>
  <c r="I252" i="14"/>
  <c r="I10" i="12"/>
  <c r="H267" i="14"/>
  <c r="H264" i="14"/>
  <c r="I255" i="14"/>
  <c r="I39" i="12"/>
  <c r="I28" i="12"/>
  <c r="M5" i="11" l="1"/>
  <c r="O5" i="11" s="1"/>
  <c r="O13" i="11" s="1"/>
  <c r="P5" i="11"/>
  <c r="P13" i="11" s="1"/>
  <c r="I49" i="2"/>
  <c r="L49" i="2" s="1"/>
  <c r="S266" i="14" s="1"/>
  <c r="U260" i="14"/>
  <c r="B5" i="6"/>
  <c r="B4" i="2" s="1"/>
  <c r="F1" i="10"/>
  <c r="D66" i="2"/>
  <c r="U258" i="14"/>
  <c r="U248" i="14"/>
  <c r="U254" i="14"/>
  <c r="U249" i="14"/>
  <c r="U257" i="14"/>
  <c r="C257" i="14"/>
  <c r="U252" i="14"/>
  <c r="I50" i="2"/>
  <c r="L50" i="2" s="1"/>
  <c r="U264" i="14"/>
  <c r="U246" i="14"/>
  <c r="U256" i="14"/>
  <c r="U262" i="14"/>
  <c r="U247" i="14"/>
  <c r="U266" i="14"/>
  <c r="U267" i="14"/>
  <c r="U259" i="14"/>
  <c r="U263" i="14"/>
  <c r="U250" i="14"/>
  <c r="U253" i="14"/>
  <c r="U251" i="14"/>
  <c r="U265" i="14"/>
  <c r="U261" i="14"/>
  <c r="U255" i="14"/>
  <c r="J267" i="14"/>
  <c r="J266" i="14"/>
  <c r="B4" i="6"/>
  <c r="B3" i="6"/>
  <c r="P16" i="2"/>
  <c r="P17" i="2"/>
  <c r="B44" i="2"/>
  <c r="B274" i="14"/>
  <c r="B275" i="14"/>
  <c r="B272" i="14"/>
  <c r="B273" i="14"/>
  <c r="B270" i="14"/>
  <c r="B271" i="14"/>
  <c r="B276" i="14"/>
  <c r="B277" i="14"/>
  <c r="J50" i="2"/>
  <c r="M50" i="2" s="1"/>
  <c r="G59" i="2"/>
  <c r="V5" i="11"/>
  <c r="O16" i="2"/>
  <c r="G58" i="2"/>
  <c r="K48" i="2"/>
  <c r="B43" i="2"/>
  <c r="D7" i="2"/>
  <c r="V6" i="11"/>
  <c r="O17" i="2"/>
  <c r="A54" i="2"/>
  <c r="J260" i="14"/>
  <c r="B50" i="2"/>
  <c r="G38" i="2"/>
  <c r="B42" i="2"/>
  <c r="G51" i="2"/>
  <c r="J48" i="2"/>
  <c r="J259" i="14"/>
  <c r="O19" i="2"/>
  <c r="G55" i="2"/>
  <c r="G49" i="2"/>
  <c r="B56" i="2"/>
  <c r="B58" i="2"/>
  <c r="J261" i="14"/>
  <c r="J250" i="14"/>
  <c r="B37" i="2"/>
  <c r="J248" i="14"/>
  <c r="J253" i="14"/>
  <c r="G40" i="2"/>
  <c r="J257" i="14"/>
  <c r="B38" i="2"/>
  <c r="B49" i="2"/>
  <c r="O20" i="2"/>
  <c r="G47" i="2"/>
  <c r="B55" i="2"/>
  <c r="B52" i="2"/>
  <c r="B48" i="2"/>
  <c r="J264" i="14"/>
  <c r="J252" i="14"/>
  <c r="J265" i="14"/>
  <c r="J263" i="14"/>
  <c r="B40" i="2"/>
  <c r="J254" i="14"/>
  <c r="A46" i="2"/>
  <c r="D8" i="2"/>
  <c r="B41" i="2"/>
  <c r="J256" i="14"/>
  <c r="I48" i="2"/>
  <c r="G50" i="2"/>
  <c r="B59" i="2"/>
  <c r="B57" i="2"/>
  <c r="B51" i="2"/>
  <c r="B47" i="2"/>
  <c r="J262" i="14"/>
  <c r="B39" i="2"/>
  <c r="J251" i="14"/>
  <c r="B35" i="2"/>
  <c r="J255" i="14"/>
  <c r="J247" i="14"/>
  <c r="J258" i="14"/>
  <c r="J249" i="14"/>
  <c r="D9" i="2"/>
  <c r="G39" i="2"/>
  <c r="S257" i="14" l="1"/>
  <c r="S261" i="14"/>
  <c r="S259" i="14"/>
  <c r="S253" i="14"/>
  <c r="S247" i="14"/>
  <c r="S258" i="14"/>
  <c r="S265" i="14"/>
  <c r="S255" i="14"/>
  <c r="S248" i="14"/>
  <c r="S262" i="14"/>
  <c r="K49" i="2"/>
  <c r="N49" i="2" s="1"/>
  <c r="S263" i="14"/>
  <c r="S250" i="14"/>
  <c r="S246" i="14"/>
  <c r="S260" i="14"/>
  <c r="S249" i="14"/>
  <c r="S264" i="14"/>
  <c r="S254" i="14"/>
  <c r="S267" i="14"/>
  <c r="S256" i="14"/>
  <c r="S251" i="14"/>
  <c r="C254" i="14"/>
  <c r="S252" i="14"/>
  <c r="C253" i="14"/>
  <c r="R249" i="14" s="1"/>
  <c r="O249" i="14" s="1"/>
  <c r="F4" i="10"/>
  <c r="F2" i="10"/>
  <c r="B2" i="2"/>
  <c r="F3" i="10"/>
  <c r="B3" i="2"/>
  <c r="K50" i="2"/>
  <c r="N50" i="2" s="1"/>
  <c r="R248" i="14" l="1"/>
  <c r="O248" i="14" s="1"/>
  <c r="R257" i="14"/>
  <c r="O257" i="14" s="1"/>
  <c r="R265" i="14"/>
  <c r="O265" i="14" s="1"/>
  <c r="R266" i="14"/>
  <c r="O266" i="14" s="1"/>
  <c r="R258" i="14"/>
  <c r="O258" i="14" s="1"/>
  <c r="R256" i="14"/>
  <c r="O256" i="14" s="1"/>
  <c r="R250" i="14"/>
  <c r="O250" i="14" s="1"/>
  <c r="R247" i="14"/>
  <c r="O247" i="14" s="1"/>
  <c r="R263" i="14"/>
  <c r="O263" i="14" s="1"/>
  <c r="R267" i="14"/>
  <c r="O267" i="14" s="1"/>
  <c r="R253" i="14"/>
  <c r="O253" i="14" s="1"/>
  <c r="R262" i="14"/>
  <c r="O262" i="14" s="1"/>
  <c r="R264" i="14"/>
  <c r="O264" i="14" s="1"/>
  <c r="R246" i="14"/>
  <c r="O246" i="14" s="1"/>
  <c r="R259" i="14"/>
  <c r="O259" i="14" s="1"/>
  <c r="R252" i="14"/>
  <c r="O252" i="14" s="1"/>
  <c r="R261" i="14"/>
  <c r="O261" i="14" s="1"/>
  <c r="R254" i="14"/>
  <c r="O254" i="14" s="1"/>
  <c r="R251" i="14"/>
  <c r="O251" i="14" s="1"/>
  <c r="R255" i="14"/>
  <c r="O255" i="14" s="1"/>
  <c r="R260" i="14"/>
  <c r="O260" i="14" s="1"/>
  <c r="T266" i="14"/>
  <c r="P266" i="14" s="1"/>
  <c r="T267" i="14"/>
  <c r="P267" i="14" s="1"/>
  <c r="K51" i="2"/>
  <c r="L51" i="2" s="1"/>
  <c r="F267" i="14"/>
  <c r="F266" i="14"/>
  <c r="F263" i="14"/>
  <c r="F256" i="14"/>
  <c r="F252" i="14"/>
  <c r="F264" i="14"/>
  <c r="F258" i="14"/>
  <c r="F253" i="14"/>
  <c r="F249" i="14"/>
  <c r="F246" i="14"/>
  <c r="F265" i="14"/>
  <c r="F260" i="14"/>
  <c r="F248" i="14"/>
  <c r="F255" i="14"/>
  <c r="F257" i="14"/>
  <c r="F254" i="14"/>
  <c r="F259" i="14"/>
  <c r="F261" i="14"/>
  <c r="F262" i="14"/>
  <c r="F247" i="14"/>
  <c r="F251" i="14"/>
  <c r="F250" i="14"/>
  <c r="T247" i="14"/>
  <c r="P247" i="14" s="1"/>
  <c r="T258" i="14"/>
  <c r="P258" i="14" s="1"/>
  <c r="T252" i="14"/>
  <c r="P252" i="14" s="1"/>
  <c r="T253" i="14"/>
  <c r="P253" i="14" s="1"/>
  <c r="T259" i="14"/>
  <c r="P259" i="14" s="1"/>
  <c r="Q259" i="14" s="1"/>
  <c r="K259" i="14" s="1"/>
  <c r="T249" i="14"/>
  <c r="P249" i="14" s="1"/>
  <c r="Q249" i="14" s="1"/>
  <c r="K249" i="14" s="1"/>
  <c r="T264" i="14"/>
  <c r="P264" i="14" s="1"/>
  <c r="Q264" i="14" s="1"/>
  <c r="K264" i="14" s="1"/>
  <c r="T254" i="14"/>
  <c r="P254" i="14" s="1"/>
  <c r="Q254" i="14" s="1"/>
  <c r="K254" i="14" s="1"/>
  <c r="C256" i="14"/>
  <c r="T257" i="14"/>
  <c r="P257" i="14" s="1"/>
  <c r="T255" i="14"/>
  <c r="P255" i="14" s="1"/>
  <c r="T262" i="14"/>
  <c r="P262" i="14" s="1"/>
  <c r="T246" i="14"/>
  <c r="P246" i="14" s="1"/>
  <c r="T256" i="14"/>
  <c r="P256" i="14" s="1"/>
  <c r="T250" i="14"/>
  <c r="P250" i="14" s="1"/>
  <c r="T260" i="14"/>
  <c r="P260" i="14" s="1"/>
  <c r="T265" i="14"/>
  <c r="P265" i="14" s="1"/>
  <c r="Q265" i="14" s="1"/>
  <c r="K265" i="14" s="1"/>
  <c r="T248" i="14"/>
  <c r="P248" i="14" s="1"/>
  <c r="T251" i="14"/>
  <c r="P251" i="14" s="1"/>
  <c r="T261" i="14"/>
  <c r="P261" i="14" s="1"/>
  <c r="T263" i="14"/>
  <c r="P263" i="14" s="1"/>
  <c r="G259" i="14"/>
  <c r="G264" i="14"/>
  <c r="G254" i="14"/>
  <c r="G249" i="14"/>
  <c r="G265" i="14"/>
  <c r="Q248" i="14" l="1"/>
  <c r="K248" i="14" s="1"/>
  <c r="Q257" i="14"/>
  <c r="K257" i="14" s="1"/>
  <c r="Q256" i="14"/>
  <c r="K256" i="14" s="1"/>
  <c r="Q246" i="14"/>
  <c r="K246" i="14" s="1"/>
  <c r="Q263" i="14"/>
  <c r="K263" i="14" s="1"/>
  <c r="Q258" i="14"/>
  <c r="K258" i="14" s="1"/>
  <c r="Q261" i="14"/>
  <c r="K261" i="14" s="1"/>
  <c r="Q260" i="14"/>
  <c r="K260" i="14" s="1"/>
  <c r="Q267" i="14"/>
  <c r="K267" i="14" s="1"/>
  <c r="Q247" i="14"/>
  <c r="K247" i="14" s="1"/>
  <c r="Q262" i="14"/>
  <c r="K262" i="14" s="1"/>
  <c r="Q253" i="14"/>
  <c r="K253" i="14" s="1"/>
  <c r="Q266" i="14"/>
  <c r="K266" i="14" s="1"/>
  <c r="Q251" i="14"/>
  <c r="K251" i="14" s="1"/>
  <c r="Q250" i="14"/>
  <c r="K250" i="14" s="1"/>
  <c r="Q255" i="14"/>
  <c r="K255" i="14" s="1"/>
  <c r="Q252" i="14"/>
  <c r="K252" i="14" s="1"/>
  <c r="W259" i="14"/>
  <c r="X259" i="14" s="1"/>
  <c r="G266" i="14"/>
  <c r="G246" i="14"/>
  <c r="G263" i="14"/>
  <c r="G260" i="14"/>
  <c r="G256" i="14"/>
  <c r="G267" i="14"/>
  <c r="G262" i="14"/>
  <c r="G248" i="14"/>
  <c r="G258" i="14"/>
  <c r="G257" i="14"/>
  <c r="G252" i="14"/>
  <c r="G253" i="14"/>
  <c r="G250" i="14"/>
  <c r="G251" i="14"/>
  <c r="G255" i="14"/>
  <c r="G261" i="14"/>
  <c r="G247" i="14"/>
  <c r="AA259" i="14" l="1"/>
  <c r="W246" i="14"/>
  <c r="W247" i="14" s="1"/>
  <c r="X247" i="14" s="1"/>
  <c r="W252" i="14"/>
  <c r="X252" i="14" s="1"/>
  <c r="W260" i="14"/>
  <c r="X260" i="14" s="1"/>
  <c r="Z259" i="14"/>
  <c r="Y259" i="14"/>
  <c r="Y247" i="14" l="1"/>
  <c r="AA252" i="14"/>
  <c r="Z246" i="14"/>
  <c r="AA246" i="14"/>
  <c r="Y246" i="14"/>
  <c r="X246" i="14"/>
  <c r="W253" i="14"/>
  <c r="X253" i="14" s="1"/>
  <c r="Z252" i="14"/>
  <c r="Y252" i="14"/>
  <c r="AA247" i="14"/>
  <c r="W248" i="14"/>
  <c r="X248" i="14" s="1"/>
  <c r="Z247" i="14"/>
  <c r="Z260" i="14"/>
  <c r="AA260" i="14"/>
  <c r="W261" i="14"/>
  <c r="X261" i="14" s="1"/>
  <c r="Y260" i="14"/>
  <c r="Z253" i="14" l="1"/>
  <c r="AA261" i="14"/>
  <c r="W249" i="14"/>
  <c r="Y253" i="14"/>
  <c r="W254" i="14"/>
  <c r="X254" i="14" s="1"/>
  <c r="AA253" i="14"/>
  <c r="Z248" i="14"/>
  <c r="Y248" i="14"/>
  <c r="AA248" i="14"/>
  <c r="Z261" i="14"/>
  <c r="W262" i="14"/>
  <c r="X262" i="14" s="1"/>
  <c r="Y261" i="14"/>
  <c r="Z249" i="14" l="1"/>
  <c r="X249" i="14"/>
  <c r="W255" i="14"/>
  <c r="AA262" i="14"/>
  <c r="AA249" i="14"/>
  <c r="Y249" i="14"/>
  <c r="W250" i="14"/>
  <c r="Y254" i="14"/>
  <c r="Z254" i="14"/>
  <c r="AA254" i="14"/>
  <c r="Y262" i="14"/>
  <c r="Z262" i="14"/>
  <c r="W263" i="14"/>
  <c r="X263" i="14" s="1"/>
  <c r="W256" i="14" l="1"/>
  <c r="AA256" i="14" s="1"/>
  <c r="X255" i="14"/>
  <c r="Y250" i="14"/>
  <c r="X250" i="14"/>
  <c r="Z250" i="14"/>
  <c r="Z255" i="14"/>
  <c r="AA255" i="14"/>
  <c r="AA263" i="14"/>
  <c r="W251" i="14"/>
  <c r="X251" i="14" s="1"/>
  <c r="AA250" i="14"/>
  <c r="Y255" i="14"/>
  <c r="Y263" i="14"/>
  <c r="Z263" i="14"/>
  <c r="W264" i="14"/>
  <c r="X264" i="14" s="1"/>
  <c r="Z256" i="14" l="1"/>
  <c r="X256" i="14"/>
  <c r="W257" i="14"/>
  <c r="Y257" i="14" s="1"/>
  <c r="Y256" i="14"/>
  <c r="AD248" i="14"/>
  <c r="AH252" i="14" s="1"/>
  <c r="Y251" i="14"/>
  <c r="AB248" i="14" s="1"/>
  <c r="Z251" i="14"/>
  <c r="AA251" i="14"/>
  <c r="AC248" i="14" s="1"/>
  <c r="AF252" i="14" s="1"/>
  <c r="AA264" i="14"/>
  <c r="W265" i="14"/>
  <c r="X265" i="14" s="1"/>
  <c r="Y264" i="14"/>
  <c r="Z264" i="14"/>
  <c r="AA257" i="14" l="1"/>
  <c r="X257" i="14"/>
  <c r="W258" i="14"/>
  <c r="X258" i="14" s="1"/>
  <c r="Z257" i="14"/>
  <c r="AA265" i="14"/>
  <c r="Z265" i="14"/>
  <c r="Y265" i="14"/>
  <c r="W266" i="14"/>
  <c r="X266" i="14" s="1"/>
  <c r="AA258" i="14" l="1"/>
  <c r="AC255" i="14" s="1"/>
  <c r="AF253" i="14" s="1"/>
  <c r="Y258" i="14"/>
  <c r="AB255" i="14" s="1"/>
  <c r="AG253" i="14" s="1"/>
  <c r="AD255" i="14"/>
  <c r="AH253" i="14" s="1"/>
  <c r="Z258" i="14"/>
  <c r="W267" i="14"/>
  <c r="X267" i="14" s="1"/>
  <c r="AA266" i="14"/>
  <c r="Y266" i="14"/>
  <c r="Z266" i="14"/>
  <c r="AA267" i="14" l="1"/>
  <c r="Y267" i="14"/>
  <c r="Z267" i="14"/>
  <c r="AD263" i="14" l="1"/>
  <c r="AH254" i="14" s="1"/>
  <c r="AC263" i="14"/>
  <c r="AG252" i="14"/>
  <c r="AB263" i="14"/>
  <c r="AG254" i="14" s="1"/>
  <c r="AF254" i="14" l="1"/>
  <c r="AI253" i="14" s="1"/>
  <c r="AK253" i="14" l="1"/>
  <c r="J58" i="2" s="1"/>
  <c r="AJ253" i="14"/>
  <c r="AN253" i="14" l="1"/>
  <c r="I39" i="2" s="1"/>
  <c r="I55" i="2"/>
  <c r="B23" i="10" s="1"/>
  <c r="C25" i="10" s="1"/>
  <c r="AM253" i="14"/>
  <c r="C259" i="14" l="1"/>
  <c r="I40" i="2"/>
  <c r="C260" i="14" s="1"/>
  <c r="AE251" i="14" s="1"/>
  <c r="A40" i="10"/>
  <c r="AE252" i="14" l="1"/>
  <c r="AE246" i="14"/>
  <c r="C261" i="14"/>
  <c r="C262" i="14" s="1"/>
  <c r="AE255" i="14"/>
  <c r="AE253" i="14"/>
  <c r="AE267" i="14"/>
  <c r="AE263" i="14"/>
  <c r="AE250" i="14"/>
  <c r="AE260" i="14"/>
  <c r="AE262" i="14"/>
  <c r="AE258" i="14"/>
  <c r="AE266" i="14"/>
  <c r="AE265" i="14"/>
  <c r="AE261" i="14"/>
  <c r="AE259" i="14"/>
  <c r="AE249" i="14"/>
  <c r="AE254" i="14"/>
  <c r="AE256" i="14"/>
  <c r="AE257" i="14"/>
  <c r="AE247" i="14"/>
  <c r="AE264" i="14"/>
  <c r="AE248" i="14"/>
  <c r="AL253" i="14" l="1"/>
  <c r="J59" i="2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mauro</author>
  </authors>
  <commentList>
    <comment ref="B253" authorId="0" shapeId="0" xr:uid="{00000000-0006-0000-0300-000001000000}">
      <text>
        <r>
          <rPr>
            <b/>
            <sz val="8"/>
            <color indexed="81"/>
            <rFont val="Tahoma"/>
            <family val="2"/>
          </rPr>
          <t>mauro:</t>
        </r>
        <r>
          <rPr>
            <sz val="8"/>
            <color indexed="81"/>
            <rFont val="Tahoma"/>
            <family val="2"/>
          </rPr>
          <t xml:space="preserve">
Momento ribaltante dovuto allo sbilanciamento dei pezzi durante il primo caricamento
Momento ribaltante considerando solo meta' pezzi caricati+m0
</t>
        </r>
      </text>
    </comment>
    <comment ref="B254" authorId="0" shapeId="0" xr:uid="{00000000-0006-0000-0300-000002000000}">
      <text>
        <r>
          <rPr>
            <b/>
            <sz val="8"/>
            <color indexed="81"/>
            <rFont val="Tahoma"/>
            <family val="2"/>
          </rPr>
          <t>mauro:</t>
        </r>
        <r>
          <rPr>
            <sz val="8"/>
            <color indexed="81"/>
            <rFont val="Tahoma"/>
            <family val="2"/>
          </rPr>
          <t xml:space="preserve">
Forza assiale dovuta al peso disco+metà del peso utensili -&gt; carico sbilanciato
(Wcomponenti/2+(Wp+Wportapezzo*Ns))*9.81+if(b=0;Fa;0) [braccio=0-&gt;forza solo assiale]</t>
        </r>
      </text>
    </comment>
    <comment ref="B256" authorId="0" shapeId="0" xr:uid="{00000000-0006-0000-0300-000003000000}">
      <text>
        <r>
          <rPr>
            <b/>
            <sz val="8"/>
            <color indexed="81"/>
            <rFont val="Tahoma"/>
            <family val="2"/>
          </rPr>
          <t>mauro:</t>
        </r>
        <r>
          <rPr>
            <sz val="8"/>
            <color indexed="81"/>
            <rFont val="Tahoma"/>
            <family val="2"/>
          </rPr>
          <t xml:space="preserve">
Forza assiale dovuta al peso applicazione+forza assiale aggiuntiva
Wtot*9.81+if(b=0;Fa;0) [braccio=0-&gt;forza solo assiale]</t>
        </r>
      </text>
    </comment>
    <comment ref="B257" authorId="0" shapeId="0" xr:uid="{00000000-0006-0000-0300-000004000000}">
      <text>
        <r>
          <rPr>
            <b/>
            <sz val="8"/>
            <color indexed="81"/>
            <rFont val="Tahoma"/>
            <family val="2"/>
          </rPr>
          <t>mauro:</t>
        </r>
        <r>
          <rPr>
            <sz val="8"/>
            <color indexed="81"/>
            <rFont val="Tahoma"/>
            <family val="2"/>
          </rPr>
          <t xml:space="preserve">
Momento ribaltante dovuto ai carichi radiali aggiunti+momento ribaltante aggiunto+momento ribaltante dovuto alla forza assiale
Fr*dr/1000+Mr+Fa*b/1000</t>
        </r>
      </text>
    </comment>
  </commentList>
</comments>
</file>

<file path=xl/sharedStrings.xml><?xml version="1.0" encoding="utf-8"?>
<sst xmlns="http://schemas.openxmlformats.org/spreadsheetml/2006/main" count="808" uniqueCount="491">
  <si>
    <t>Fa</t>
  </si>
  <si>
    <t>Dial plate diameter</t>
  </si>
  <si>
    <t>Dial plate weight</t>
  </si>
  <si>
    <t>J</t>
  </si>
  <si>
    <t>Axial force</t>
  </si>
  <si>
    <t>Radial force</t>
  </si>
  <si>
    <t>Fr</t>
  </si>
  <si>
    <t>Overturning torque</t>
  </si>
  <si>
    <t>N</t>
  </si>
  <si>
    <t>Inertia</t>
  </si>
  <si>
    <t>Company name</t>
  </si>
  <si>
    <t>Address</t>
  </si>
  <si>
    <t>City</t>
  </si>
  <si>
    <t>ZIP code</t>
  </si>
  <si>
    <t>State</t>
  </si>
  <si>
    <t>Tel.</t>
  </si>
  <si>
    <t>Fax.</t>
  </si>
  <si>
    <t>Name</t>
  </si>
  <si>
    <t>Position</t>
  </si>
  <si>
    <t>E-mail</t>
  </si>
  <si>
    <t>Skype</t>
  </si>
  <si>
    <t>Division of Bettinelli F.lli S.p.A.</t>
  </si>
  <si>
    <t>Germany</t>
  </si>
  <si>
    <t>India</t>
  </si>
  <si>
    <t>Bettinelli Automation Components Pvt Ltd</t>
  </si>
  <si>
    <t>Title (Mrs., Miss, Mr.)</t>
  </si>
  <si>
    <t>Ns</t>
  </si>
  <si>
    <t>no. of stops</t>
  </si>
  <si>
    <t>NS</t>
  </si>
  <si>
    <t>Cod.</t>
  </si>
  <si>
    <t>ITP 75</t>
  </si>
  <si>
    <t>ITP 100</t>
  </si>
  <si>
    <t>ITP 150</t>
  </si>
  <si>
    <t>ITP 200</t>
  </si>
  <si>
    <t>ITP 300</t>
  </si>
  <si>
    <t>ITP 450</t>
  </si>
  <si>
    <t>Motor Frequency</t>
  </si>
  <si>
    <t>riga base</t>
  </si>
  <si>
    <t>colonna base</t>
  </si>
  <si>
    <t>Hz</t>
  </si>
  <si>
    <t>Rp</t>
  </si>
  <si>
    <t>Model</t>
  </si>
  <si>
    <t>CR</t>
  </si>
  <si>
    <t>N m</t>
  </si>
  <si>
    <t>A 50</t>
  </si>
  <si>
    <t>B 50</t>
  </si>
  <si>
    <t>C 50</t>
  </si>
  <si>
    <t>D 50</t>
  </si>
  <si>
    <t>E 50</t>
  </si>
  <si>
    <t>F 50</t>
  </si>
  <si>
    <t>A 60</t>
  </si>
  <si>
    <t>B 60</t>
  </si>
  <si>
    <t>C 60</t>
  </si>
  <si>
    <t>D 60</t>
  </si>
  <si>
    <t>E 60</t>
  </si>
  <si>
    <t>F 60</t>
  </si>
  <si>
    <t>Cycle time code</t>
  </si>
  <si>
    <t>dr</t>
  </si>
  <si>
    <t>Weight</t>
  </si>
  <si>
    <t>Dial plate</t>
  </si>
  <si>
    <t>Total</t>
  </si>
  <si>
    <t>Output angle</t>
  </si>
  <si>
    <t>b</t>
  </si>
  <si>
    <t>mo</t>
  </si>
  <si>
    <t>Test m0</t>
  </si>
  <si>
    <t>Units</t>
  </si>
  <si>
    <t>Metric</t>
  </si>
  <si>
    <t>Job name</t>
  </si>
  <si>
    <t>Italy</t>
  </si>
  <si>
    <t>USA</t>
  </si>
  <si>
    <t xml:space="preserve">CDS Cam Driven Systems </t>
  </si>
  <si>
    <t>Tel. +49 (0)9090 705 711 0   Fax +49 (0)9090 705 711 13</t>
  </si>
  <si>
    <t>Tel. +1-973-300-0090       Fax +1-973-300-0061</t>
  </si>
  <si>
    <t>e-mail  info@bettinelli.in      www.cdsindexers.in</t>
  </si>
  <si>
    <t>Date</t>
  </si>
  <si>
    <t>Tel.:</t>
  </si>
  <si>
    <t>Fax :</t>
  </si>
  <si>
    <t xml:space="preserve">Subject </t>
  </si>
  <si>
    <t>Description</t>
  </si>
  <si>
    <t>Lubrification: Oil - LUBED FOR LIFE</t>
  </si>
  <si>
    <t>Total price</t>
  </si>
  <si>
    <t>Packing</t>
  </si>
  <si>
    <t xml:space="preserve">included </t>
  </si>
  <si>
    <t>Delivery</t>
  </si>
  <si>
    <t xml:space="preserve">Terms </t>
  </si>
  <si>
    <t>Transport</t>
  </si>
  <si>
    <t>Payment</t>
  </si>
  <si>
    <t>Offer validity</t>
  </si>
  <si>
    <t>30 days</t>
  </si>
  <si>
    <t>Options</t>
  </si>
  <si>
    <t>Input shaft rotation: 1        Position of the gear reducer: S2-90°</t>
  </si>
  <si>
    <t>Radius of inertia</t>
  </si>
  <si>
    <t>Suggested model</t>
  </si>
  <si>
    <t>Quote provided to</t>
  </si>
  <si>
    <t>Quote #</t>
  </si>
  <si>
    <t>Model/type</t>
  </si>
  <si>
    <t>Model/Type</t>
  </si>
  <si>
    <t>No. of stops</t>
  </si>
  <si>
    <t>Gear reducer reduction</t>
  </si>
  <si>
    <t>Inverter duty AC</t>
  </si>
  <si>
    <t>Unit price</t>
  </si>
  <si>
    <t>qty 2 Proximity switch PNP n.o. + qty 2 timing phase cams</t>
  </si>
  <si>
    <t>Qty</t>
  </si>
  <si>
    <t>1 working week A.R.O.</t>
  </si>
  <si>
    <t>At customer's care and charge</t>
  </si>
  <si>
    <t>A - At time of order</t>
  </si>
  <si>
    <t>Draw</t>
  </si>
  <si>
    <t xml:space="preserve">     applied at</t>
  </si>
  <si>
    <t>1.Steel</t>
  </si>
  <si>
    <t>a</t>
  </si>
  <si>
    <t>h</t>
  </si>
  <si>
    <t>material</t>
  </si>
  <si>
    <t>W</t>
  </si>
  <si>
    <t>L</t>
  </si>
  <si>
    <t>qty</t>
  </si>
  <si>
    <t>Solid Cylinder</t>
  </si>
  <si>
    <t>Hollow Cylinder</t>
  </si>
  <si>
    <t>Rectangular Prism</t>
  </si>
  <si>
    <t>Hollow rectangular prism</t>
  </si>
  <si>
    <t>d</t>
  </si>
  <si>
    <t>Unità misura</t>
  </si>
  <si>
    <t>numero stops</t>
  </si>
  <si>
    <t>Codice ciclo</t>
  </si>
  <si>
    <t>Frequenza motore</t>
  </si>
  <si>
    <t>Angolo uscita</t>
  </si>
  <si>
    <t>Inerzia</t>
  </si>
  <si>
    <t>Diametro disco</t>
  </si>
  <si>
    <t>Peso disco</t>
  </si>
  <si>
    <t>Peso unitario portapezzi</t>
  </si>
  <si>
    <t>Forza assiale</t>
  </si>
  <si>
    <t>Forza radiale</t>
  </si>
  <si>
    <t>Momento ribaltante</t>
  </si>
  <si>
    <t>Peso</t>
  </si>
  <si>
    <t>Raggio equiv. d'inerzia</t>
  </si>
  <si>
    <t>Disco</t>
  </si>
  <si>
    <t>Totale</t>
  </si>
  <si>
    <t>Unità suggerita</t>
  </si>
  <si>
    <t>Radio equiv. de inercia</t>
  </si>
  <si>
    <t>Numero de paros</t>
  </si>
  <si>
    <t>Frequencia motor</t>
  </si>
  <si>
    <t>Angulo de parada</t>
  </si>
  <si>
    <t>Inercia</t>
  </si>
  <si>
    <t>Fuerza axial</t>
  </si>
  <si>
    <t>Fuerza radial</t>
  </si>
  <si>
    <t>Momento de vuelco</t>
  </si>
  <si>
    <t>Cargas en el divisor</t>
  </si>
  <si>
    <t>Anzahl der Stationen</t>
  </si>
  <si>
    <t>Società</t>
  </si>
  <si>
    <t>Nome lavoro</t>
  </si>
  <si>
    <t>Data</t>
  </si>
  <si>
    <t>Language</t>
  </si>
  <si>
    <t>1-ENGLISH</t>
  </si>
  <si>
    <t>Selezione</t>
  </si>
  <si>
    <t>Lingua</t>
  </si>
  <si>
    <t xml:space="preserve">   applicata a</t>
  </si>
  <si>
    <t>Längskraft</t>
  </si>
  <si>
    <t>Radialkraft</t>
  </si>
  <si>
    <t>Kippmoment</t>
  </si>
  <si>
    <t>Motorfrequenz</t>
  </si>
  <si>
    <t>Frequence du moteur</t>
  </si>
  <si>
    <t>Datum</t>
  </si>
  <si>
    <t>Drehtellerdurchmesser</t>
  </si>
  <si>
    <t>Masse par la pièce</t>
  </si>
  <si>
    <t>Rayon d'inertie</t>
  </si>
  <si>
    <t>Inertie</t>
  </si>
  <si>
    <t>masse</t>
  </si>
  <si>
    <t>Diamètre discque</t>
  </si>
  <si>
    <t>Drehtellermasse</t>
  </si>
  <si>
    <t>Masse</t>
  </si>
  <si>
    <t>Optional external loads</t>
  </si>
  <si>
    <t>Eventuali forze aggiuntive</t>
  </si>
  <si>
    <t>Eventuelle forces supplémentaires</t>
  </si>
  <si>
    <t xml:space="preserve">   radius</t>
  </si>
  <si>
    <t>Drehteller</t>
  </si>
  <si>
    <t>Werkstück</t>
  </si>
  <si>
    <t>Firma</t>
  </si>
  <si>
    <t>Angle de sortie</t>
  </si>
  <si>
    <t>Masse du disque</t>
  </si>
  <si>
    <t>Force axiale</t>
  </si>
  <si>
    <t>Force radiale</t>
  </si>
  <si>
    <t xml:space="preserve">   rayon</t>
  </si>
  <si>
    <t>Couple de retournement</t>
  </si>
  <si>
    <t>Disque</t>
  </si>
  <si>
    <t>Pièces</t>
  </si>
  <si>
    <t>Langue</t>
  </si>
  <si>
    <t>Rayon d'application</t>
  </si>
  <si>
    <t>Radio de applicacion</t>
  </si>
  <si>
    <t>Peso plato</t>
  </si>
  <si>
    <t>Peso unitario pieza</t>
  </si>
  <si>
    <t>Piezas</t>
  </si>
  <si>
    <t>Plato</t>
  </si>
  <si>
    <t>radio</t>
  </si>
  <si>
    <t>Sprache</t>
  </si>
  <si>
    <t>Unité de mesure</t>
  </si>
  <si>
    <t>Unidad de medida</t>
  </si>
  <si>
    <t>Unidad sugerido</t>
  </si>
  <si>
    <t>Unité suggérée</t>
  </si>
  <si>
    <t>Gesamt</t>
  </si>
  <si>
    <t>Vorgeschlagene Modell</t>
  </si>
  <si>
    <t>Werkstückpositionradius</t>
  </si>
  <si>
    <t>Zykluszeitcode</t>
  </si>
  <si>
    <t>Código tiempo de ciclo</t>
  </si>
  <si>
    <t>Code du temp de cycle</t>
  </si>
  <si>
    <t>Fecha</t>
  </si>
  <si>
    <t>Empresa</t>
  </si>
  <si>
    <t>Entreprise</t>
  </si>
  <si>
    <t>Nombre del trabajo</t>
  </si>
  <si>
    <t>Nom du project</t>
  </si>
  <si>
    <t>Projektnummer</t>
  </si>
  <si>
    <t>V</t>
  </si>
  <si>
    <t>2-ITALIANO</t>
  </si>
  <si>
    <t>.stp</t>
  </si>
  <si>
    <t>Idioma</t>
  </si>
  <si>
    <t>Torino</t>
  </si>
  <si>
    <t>TRP 80</t>
  </si>
  <si>
    <t>TRP 110</t>
  </si>
  <si>
    <t>TRP 160</t>
  </si>
  <si>
    <t>TRP 210</t>
  </si>
  <si>
    <t>TRP 315</t>
  </si>
  <si>
    <t>TRP 400</t>
  </si>
  <si>
    <t>TRP 470</t>
  </si>
  <si>
    <t>PITP100A</t>
  </si>
  <si>
    <t>Mr</t>
  </si>
  <si>
    <t>Rcux</t>
  </si>
  <si>
    <t>Rt/Rp</t>
  </si>
  <si>
    <t>公司名称</t>
  </si>
  <si>
    <t>单位</t>
  </si>
  <si>
    <t>语言</t>
  </si>
  <si>
    <t xml:space="preserve">电机频率 </t>
  </si>
  <si>
    <t xml:space="preserve">输出角 </t>
  </si>
  <si>
    <t>工作盘直径</t>
  </si>
  <si>
    <t>6-CHINESE</t>
  </si>
  <si>
    <t>日期</t>
  </si>
  <si>
    <t>工作盘的重量</t>
  </si>
  <si>
    <t>单个工件重量</t>
  </si>
  <si>
    <t>额外负载</t>
  </si>
  <si>
    <t>径向力</t>
  </si>
  <si>
    <t>轴向力</t>
  </si>
  <si>
    <t>重量</t>
  </si>
  <si>
    <t>工件</t>
  </si>
  <si>
    <t>总计</t>
  </si>
  <si>
    <t>推荐型号</t>
  </si>
  <si>
    <t>重复定位精度</t>
  </si>
  <si>
    <t>7-TÜRKÇE</t>
  </si>
  <si>
    <t>Firma ismi</t>
  </si>
  <si>
    <t>İş tanımı</t>
  </si>
  <si>
    <t>Tarih</t>
  </si>
  <si>
    <t>Dil</t>
  </si>
  <si>
    <t>Birim</t>
  </si>
  <si>
    <t>İstasyon sayısı</t>
  </si>
  <si>
    <t>Çevrim hızı kodu</t>
  </si>
  <si>
    <t>Motor frekansı</t>
  </si>
  <si>
    <t>Çıkış açısı</t>
  </si>
  <si>
    <t>Atalet</t>
  </si>
  <si>
    <t>Tabla çapı</t>
  </si>
  <si>
    <t>İş parçası merkezden uzaklığı</t>
  </si>
  <si>
    <t>Tabla ağırlığı</t>
  </si>
  <si>
    <t>İş parçası ağırlığı</t>
  </si>
  <si>
    <t>Opsiyonel dış yük</t>
  </si>
  <si>
    <t>Eksenel yük</t>
  </si>
  <si>
    <t>Radyal yük</t>
  </si>
  <si>
    <t>Yarı çap</t>
  </si>
  <si>
    <t>Devirme momenti</t>
  </si>
  <si>
    <t>Ağırlık</t>
  </si>
  <si>
    <t>Atalet yarı çapı</t>
  </si>
  <si>
    <t>Tabla</t>
  </si>
  <si>
    <t>İş parçası</t>
  </si>
  <si>
    <t>Toplam</t>
  </si>
  <si>
    <t>Önerilen model</t>
  </si>
  <si>
    <t>Tekrarlama hassasiyeti</t>
  </si>
  <si>
    <t>Rep.[°]</t>
  </si>
  <si>
    <t>Repetibilidad</t>
  </si>
  <si>
    <t>Repeatability</t>
  </si>
  <si>
    <t>Ripetibilità</t>
  </si>
  <si>
    <t>Répétitivité</t>
  </si>
  <si>
    <t>5-DEUTSCH</t>
  </si>
  <si>
    <t>0 - YES</t>
  </si>
  <si>
    <t>1 - NO</t>
  </si>
  <si>
    <t>0 - SI</t>
  </si>
  <si>
    <t>External support for the unbalanced loads</t>
  </si>
  <si>
    <t>Momento ribaltante supportato esternamente</t>
  </si>
  <si>
    <t>The loads must be supported by customer</t>
  </si>
  <si>
    <t>momento de vuelco soportado extermamente</t>
  </si>
  <si>
    <t>las cargas deben ser soportadas por el cliente</t>
  </si>
  <si>
    <t>0 - JA</t>
  </si>
  <si>
    <t>1 - NEIN</t>
  </si>
  <si>
    <t>Externe Unterstuetzung fuer einseitige Belastung vorhanden</t>
  </si>
  <si>
    <t>Wiederholbarkeit</t>
  </si>
  <si>
    <t xml:space="preserve"> Das einseitige Gewicht muss durch den Kunden unterstuetzt werden  </t>
  </si>
  <si>
    <t>Tool</t>
  </si>
  <si>
    <t>Data from Inertia Calculator Sheet</t>
  </si>
  <si>
    <t>Dati dal foglio Inertia Calculator</t>
  </si>
  <si>
    <t>ESP Data from Inertia Calculator Sheet</t>
  </si>
  <si>
    <t>FRA Data from Inertia Calculator Sheet</t>
  </si>
  <si>
    <t>DEU Data from Inertia Calculator Sheet</t>
  </si>
  <si>
    <t>sec</t>
  </si>
  <si>
    <t>ESP Min. E-stop time</t>
  </si>
  <si>
    <t>FRA Min. E-stop time</t>
  </si>
  <si>
    <t>DEU Min. E-stop time</t>
  </si>
  <si>
    <t>Cv</t>
  </si>
  <si>
    <t>Ca</t>
  </si>
  <si>
    <t>Cv/Ca</t>
  </si>
  <si>
    <t>I carichi esterni devono essere supportati dal cliente</t>
  </si>
  <si>
    <r>
      <t>d</t>
    </r>
    <r>
      <rPr>
        <b/>
        <vertAlign val="subscript"/>
        <sz val="10"/>
        <rFont val="Verdana"/>
        <family val="2"/>
      </rPr>
      <t>1</t>
    </r>
  </si>
  <si>
    <r>
      <t>a</t>
    </r>
    <r>
      <rPr>
        <b/>
        <vertAlign val="subscript"/>
        <sz val="10"/>
        <rFont val="Verdana"/>
        <family val="2"/>
      </rPr>
      <t>1</t>
    </r>
  </si>
  <si>
    <r>
      <t>b</t>
    </r>
    <r>
      <rPr>
        <b/>
        <vertAlign val="subscript"/>
        <sz val="10"/>
        <rFont val="Verdana"/>
        <family val="2"/>
      </rPr>
      <t>1</t>
    </r>
  </si>
  <si>
    <r>
      <t>J</t>
    </r>
    <r>
      <rPr>
        <b/>
        <vertAlign val="subscript"/>
        <sz val="10"/>
        <rFont val="Verdana"/>
        <family val="2"/>
      </rPr>
      <t xml:space="preserve"> tot</t>
    </r>
  </si>
  <si>
    <r>
      <t>W</t>
    </r>
    <r>
      <rPr>
        <b/>
        <vertAlign val="subscript"/>
        <sz val="10"/>
        <rFont val="Verdana"/>
        <family val="2"/>
      </rPr>
      <t>tot</t>
    </r>
  </si>
  <si>
    <r>
      <t>J</t>
    </r>
    <r>
      <rPr>
        <b/>
        <vertAlign val="subscript"/>
        <sz val="10"/>
        <rFont val="Verdana"/>
        <family val="2"/>
      </rPr>
      <t xml:space="preserve"> tools</t>
    </r>
  </si>
  <si>
    <r>
      <t>W</t>
    </r>
    <r>
      <rPr>
        <b/>
        <vertAlign val="subscript"/>
        <sz val="10"/>
        <rFont val="Verdana"/>
        <family val="2"/>
      </rPr>
      <t>tools</t>
    </r>
  </si>
  <si>
    <r>
      <t xml:space="preserve">Ulrichstr. 9 - </t>
    </r>
    <r>
      <rPr>
        <b/>
        <sz val="10"/>
        <rFont val="Verdana"/>
        <family val="2"/>
      </rPr>
      <t>86641 Rain</t>
    </r>
  </si>
  <si>
    <r>
      <t>27 Wilson Dr., Unit C  -</t>
    </r>
    <r>
      <rPr>
        <b/>
        <sz val="10"/>
        <rFont val="Verdana"/>
        <family val="2"/>
      </rPr>
      <t xml:space="preserve"> Sparta, NJ 07871</t>
    </r>
  </si>
  <si>
    <r>
      <t xml:space="preserve">m </t>
    </r>
    <r>
      <rPr>
        <vertAlign val="subscript"/>
        <sz val="6"/>
        <rFont val="Verdana"/>
        <family val="2"/>
      </rPr>
      <t>overturn tools</t>
    </r>
  </si>
  <si>
    <r>
      <t xml:space="preserve">Fa </t>
    </r>
    <r>
      <rPr>
        <vertAlign val="subscript"/>
        <sz val="6"/>
        <rFont val="Verdana"/>
        <family val="2"/>
      </rPr>
      <t>overturn tools</t>
    </r>
  </si>
  <si>
    <r>
      <t>t</t>
    </r>
    <r>
      <rPr>
        <vertAlign val="subscript"/>
        <sz val="8"/>
        <rFont val="Verdana"/>
        <family val="2"/>
      </rPr>
      <t>cycle</t>
    </r>
  </si>
  <si>
    <r>
      <t>t</t>
    </r>
    <r>
      <rPr>
        <vertAlign val="subscript"/>
        <sz val="8"/>
        <rFont val="Verdana"/>
        <family val="2"/>
      </rPr>
      <t>displacement</t>
    </r>
  </si>
  <si>
    <t>3-ESPAÑOL</t>
  </si>
  <si>
    <t>4-FRANÇAIS</t>
  </si>
  <si>
    <t>Maßeinheit</t>
  </si>
  <si>
    <t>Nombre d'arrêts</t>
  </si>
  <si>
    <t>Trägheit</t>
  </si>
  <si>
    <t>Diámetro plato</t>
  </si>
  <si>
    <t>Masse pro Werkstück</t>
  </si>
  <si>
    <t>Eventuelle zusätzichle Kräfte</t>
  </si>
  <si>
    <t>Trägheitshalbmesser</t>
  </si>
  <si>
    <r>
      <t>J</t>
    </r>
    <r>
      <rPr>
        <b/>
        <vertAlign val="subscript"/>
        <sz val="6"/>
        <rFont val="Verdana"/>
        <family val="2"/>
      </rPr>
      <t>appl</t>
    </r>
  </si>
  <si>
    <r>
      <t>J</t>
    </r>
    <r>
      <rPr>
        <b/>
        <vertAlign val="subscript"/>
        <sz val="6"/>
        <rFont val="Verdana"/>
        <family val="2"/>
      </rPr>
      <t>index</t>
    </r>
  </si>
  <si>
    <r>
      <t>Test m</t>
    </r>
    <r>
      <rPr>
        <b/>
        <vertAlign val="subscript"/>
        <sz val="6"/>
        <rFont val="Verdana"/>
        <family val="2"/>
      </rPr>
      <t xml:space="preserve"> overturn</t>
    </r>
  </si>
  <si>
    <t>Sel.</t>
  </si>
  <si>
    <r>
      <t xml:space="preserve">m </t>
    </r>
    <r>
      <rPr>
        <b/>
        <vertAlign val="subscript"/>
        <sz val="6"/>
        <rFont val="Verdana"/>
        <family val="2"/>
      </rPr>
      <t>overturn carico</t>
    </r>
  </si>
  <si>
    <r>
      <t xml:space="preserve">Fa </t>
    </r>
    <r>
      <rPr>
        <b/>
        <vertAlign val="subscript"/>
        <sz val="6"/>
        <rFont val="Verdana"/>
        <family val="2"/>
      </rPr>
      <t>overturn</t>
    </r>
  </si>
  <si>
    <r>
      <t>t</t>
    </r>
    <r>
      <rPr>
        <b/>
        <vertAlign val="subscript"/>
        <sz val="6"/>
        <rFont val="Verdana"/>
        <family val="2"/>
      </rPr>
      <t>e-stop</t>
    </r>
    <r>
      <rPr>
        <b/>
        <sz val="6"/>
        <rFont val="Verdana"/>
        <family val="2"/>
      </rPr>
      <t xml:space="preserve"> [sec]</t>
    </r>
  </si>
  <si>
    <t>INDEX</t>
  </si>
  <si>
    <t>G 50</t>
  </si>
  <si>
    <t>H 50</t>
  </si>
  <si>
    <t>I 50</t>
  </si>
  <si>
    <t>J 50</t>
  </si>
  <si>
    <t>K 50</t>
  </si>
  <si>
    <t>Index</t>
  </si>
  <si>
    <t>°</t>
  </si>
  <si>
    <t>Min</t>
  </si>
  <si>
    <r>
      <t>F</t>
    </r>
    <r>
      <rPr>
        <b/>
        <vertAlign val="subscript"/>
        <sz val="6"/>
        <rFont val="Verdana"/>
        <family val="2"/>
      </rPr>
      <t>ax</t>
    </r>
  </si>
  <si>
    <r>
      <t xml:space="preserve">m </t>
    </r>
    <r>
      <rPr>
        <b/>
        <vertAlign val="subscript"/>
        <sz val="6"/>
        <rFont val="Verdana"/>
        <family val="2"/>
      </rPr>
      <t>overturn tools</t>
    </r>
  </si>
  <si>
    <t>Min. emergency stop time</t>
  </si>
  <si>
    <r>
      <t>J</t>
    </r>
    <r>
      <rPr>
        <b/>
        <vertAlign val="subscript"/>
        <sz val="6"/>
        <rFont val="Verdana"/>
        <family val="2"/>
      </rPr>
      <t>app</t>
    </r>
    <r>
      <rPr>
        <b/>
        <sz val="6"/>
        <rFont val="Verdana"/>
        <family val="2"/>
      </rPr>
      <t>/J</t>
    </r>
    <r>
      <rPr>
        <b/>
        <vertAlign val="subscript"/>
        <sz val="6"/>
        <rFont val="Verdana"/>
        <family val="2"/>
      </rPr>
      <t>index</t>
    </r>
  </si>
  <si>
    <t>Selection</t>
  </si>
  <si>
    <t>Tempo min. per stop d'emergenza</t>
  </si>
  <si>
    <t>Externally supported unbalanced loads</t>
  </si>
  <si>
    <t>0 - OUI</t>
  </si>
  <si>
    <t>Motor type</t>
  </si>
  <si>
    <t>Tipo motore</t>
  </si>
  <si>
    <t>Motor electrico</t>
  </si>
  <si>
    <t>Typologie du moteur</t>
  </si>
  <si>
    <t>Motortyp</t>
  </si>
  <si>
    <t>N-Normal</t>
  </si>
  <si>
    <t>N-Normale</t>
  </si>
  <si>
    <t>N-Standard</t>
  </si>
  <si>
    <t>Z-Brake</t>
  </si>
  <si>
    <t>Z-Autofrenante</t>
  </si>
  <si>
    <t>Z-Motor freno</t>
  </si>
  <si>
    <t>Z-Autofreinant</t>
  </si>
  <si>
    <t>Z-Brems-motor</t>
  </si>
  <si>
    <t>Müşteri tarafından desteklenmeli</t>
  </si>
  <si>
    <t>0 - Evet</t>
  </si>
  <si>
    <t>1 - Hayır</t>
  </si>
  <si>
    <t>Müşteri tarafından desteklemelidir</t>
  </si>
  <si>
    <t>Atalet hesaplama bölümündeki bilgiler</t>
  </si>
  <si>
    <t>Emniyetli durma zamanı</t>
  </si>
  <si>
    <t>Motor tipi</t>
  </si>
  <si>
    <t>N - Normal</t>
  </si>
  <si>
    <t>Z - Frenli</t>
  </si>
  <si>
    <t>Ref.</t>
  </si>
  <si>
    <r>
      <t xml:space="preserve">Office #3, 1st Floor, Destination Center   Magarpatta City Hadapsar  -  </t>
    </r>
    <r>
      <rPr>
        <b/>
        <sz val="10"/>
        <rFont val="Verdana"/>
        <family val="2"/>
      </rPr>
      <t>Pune 411-013</t>
    </r>
  </si>
  <si>
    <t xml:space="preserve">Tel. +91 20 6723 6484   Fax +91 20 6723 6485 </t>
  </si>
  <si>
    <t>项目名称</t>
  </si>
  <si>
    <t>工位数</t>
  </si>
  <si>
    <t>循环时间代码</t>
  </si>
  <si>
    <t>转动惯量</t>
  </si>
  <si>
    <t>工件位置旋转半径</t>
  </si>
  <si>
    <t>力臂</t>
  </si>
  <si>
    <t>翻转扭矩</t>
  </si>
  <si>
    <t>回转半径</t>
  </si>
  <si>
    <t>工作盘</t>
  </si>
  <si>
    <t>是否有能承受工件加工作用力的外部支撑结构</t>
  </si>
  <si>
    <t>0 - 是</t>
  </si>
  <si>
    <t>1 - 否</t>
  </si>
  <si>
    <t>用于承受工件加工作用力的外部支撑结构由客户制作</t>
  </si>
  <si>
    <t>转动惯量表数据计算</t>
  </si>
  <si>
    <t>最短紧急停止时间</t>
  </si>
  <si>
    <t>电机种类</t>
  </si>
  <si>
    <t>N-普通电机</t>
  </si>
  <si>
    <t>Z-制动电机</t>
  </si>
  <si>
    <t>Raggio portapezzi</t>
  </si>
  <si>
    <t>Part-holder radius</t>
  </si>
  <si>
    <t>Part-holder weight (single)</t>
  </si>
  <si>
    <t>Part position radius</t>
  </si>
  <si>
    <t>Peso unitario componente</t>
  </si>
  <si>
    <t>Part weight (single)</t>
  </si>
  <si>
    <t>Raggio posiz. componente</t>
  </si>
  <si>
    <t>Componenti</t>
  </si>
  <si>
    <t>Parts</t>
  </si>
  <si>
    <t>İş parçası tutucu merkezden uzaklığı</t>
  </si>
  <si>
    <t>İş parçası tutucusu ağırlığı</t>
  </si>
  <si>
    <t>TRW 210</t>
  </si>
  <si>
    <t>TRW 315</t>
  </si>
  <si>
    <t>TRW 400</t>
  </si>
  <si>
    <t>TRW 470</t>
  </si>
  <si>
    <t>Motoreducer</t>
  </si>
  <si>
    <t>Motoriduttore</t>
  </si>
  <si>
    <t>Motorreductor</t>
  </si>
  <si>
    <t>Motoréducteur</t>
  </si>
  <si>
    <t>Getriebemotor</t>
  </si>
  <si>
    <t>Motor redüktör</t>
  </si>
  <si>
    <t>减速器</t>
  </si>
  <si>
    <r>
      <t>Fa</t>
    </r>
    <r>
      <rPr>
        <b/>
        <vertAlign val="subscript"/>
        <sz val="6"/>
        <rFont val="Verdana"/>
        <family val="2"/>
      </rPr>
      <t>CUX</t>
    </r>
    <r>
      <rPr>
        <b/>
        <sz val="6"/>
        <rFont val="Verdana"/>
        <family val="2"/>
      </rPr>
      <t xml:space="preserve"> [N]</t>
    </r>
  </si>
  <si>
    <r>
      <t>Fr</t>
    </r>
    <r>
      <rPr>
        <b/>
        <vertAlign val="subscript"/>
        <sz val="6"/>
        <rFont val="Verdana"/>
        <family val="2"/>
      </rPr>
      <t>CUX</t>
    </r>
    <r>
      <rPr>
        <b/>
        <sz val="6"/>
        <rFont val="Verdana"/>
        <family val="2"/>
      </rPr>
      <t xml:space="preserve"> [N]</t>
    </r>
  </si>
  <si>
    <r>
      <t>Mr</t>
    </r>
    <r>
      <rPr>
        <b/>
        <vertAlign val="subscript"/>
        <sz val="6"/>
        <rFont val="Verdana"/>
        <family val="2"/>
      </rPr>
      <t>CUX</t>
    </r>
    <r>
      <rPr>
        <b/>
        <sz val="6"/>
        <rFont val="Verdana"/>
        <family val="2"/>
      </rPr>
      <t xml:space="preserve"> [Nm]</t>
    </r>
  </si>
  <si>
    <r>
      <t>Fa</t>
    </r>
    <r>
      <rPr>
        <vertAlign val="subscript"/>
        <sz val="6"/>
        <rFont val="Verdana"/>
        <family val="2"/>
      </rPr>
      <t>p</t>
    </r>
  </si>
  <si>
    <r>
      <t>mo</t>
    </r>
    <r>
      <rPr>
        <vertAlign val="subscript"/>
        <sz val="6"/>
        <rFont val="Verdana"/>
        <family val="2"/>
      </rPr>
      <t>p</t>
    </r>
  </si>
  <si>
    <r>
      <t>rad/s</t>
    </r>
    <r>
      <rPr>
        <vertAlign val="superscript"/>
        <sz val="6"/>
        <rFont val="Verdana"/>
        <family val="2"/>
      </rPr>
      <t>2</t>
    </r>
  </si>
  <si>
    <r>
      <t>a</t>
    </r>
    <r>
      <rPr>
        <vertAlign val="subscript"/>
        <sz val="8"/>
        <rFont val="Verdana"/>
        <family val="2"/>
      </rPr>
      <t>max</t>
    </r>
  </si>
  <si>
    <r>
      <t>Mt</t>
    </r>
    <r>
      <rPr>
        <vertAlign val="subscript"/>
        <sz val="8"/>
        <rFont val="Verdana"/>
        <family val="2"/>
      </rPr>
      <t>appl</t>
    </r>
  </si>
  <si>
    <t>Cycle time</t>
  </si>
  <si>
    <t>Index time</t>
  </si>
  <si>
    <t>Tempo ciclo</t>
  </si>
  <si>
    <t>Tempo spostamento</t>
  </si>
  <si>
    <t>Tiempo de ciclo</t>
  </si>
  <si>
    <t>Tiempo de emplazamiento</t>
  </si>
  <si>
    <t>Temp du cycle</t>
  </si>
  <si>
    <t>Temp de déplacement</t>
  </si>
  <si>
    <t>Zykluzeit</t>
  </si>
  <si>
    <t>Schaltzeit</t>
  </si>
  <si>
    <t xml:space="preserve">Çevrim hızı </t>
  </si>
  <si>
    <t xml:space="preserve">Hareket hızı </t>
  </si>
  <si>
    <r>
      <t>t</t>
    </r>
    <r>
      <rPr>
        <b/>
        <vertAlign val="subscript"/>
        <sz val="8"/>
        <rFont val="Verdana"/>
        <family val="2"/>
      </rPr>
      <t>s</t>
    </r>
  </si>
  <si>
    <r>
      <t>t</t>
    </r>
    <r>
      <rPr>
        <vertAlign val="subscript"/>
        <sz val="10"/>
        <rFont val="Verdana"/>
        <family val="2"/>
      </rPr>
      <t>s</t>
    </r>
  </si>
  <si>
    <r>
      <t>t</t>
    </r>
    <r>
      <rPr>
        <vertAlign val="subscript"/>
        <sz val="10"/>
        <rFont val="Verdana"/>
        <family val="2"/>
      </rPr>
      <t>m</t>
    </r>
  </si>
  <si>
    <r>
      <t>D</t>
    </r>
    <r>
      <rPr>
        <vertAlign val="subscript"/>
        <sz val="10"/>
        <rFont val="Verdana"/>
        <family val="2"/>
      </rPr>
      <t>p</t>
    </r>
  </si>
  <si>
    <r>
      <t>W</t>
    </r>
    <r>
      <rPr>
        <vertAlign val="subscript"/>
        <sz val="10"/>
        <rFont val="Verdana"/>
        <family val="2"/>
      </rPr>
      <t>p</t>
    </r>
  </si>
  <si>
    <r>
      <t>R</t>
    </r>
    <r>
      <rPr>
        <vertAlign val="subscript"/>
        <sz val="10"/>
        <rFont val="Verdana"/>
        <family val="2"/>
      </rPr>
      <t>t</t>
    </r>
  </si>
  <si>
    <r>
      <t>W</t>
    </r>
    <r>
      <rPr>
        <vertAlign val="subscript"/>
        <sz val="10"/>
        <rFont val="Verdana"/>
        <family val="2"/>
      </rPr>
      <t>t</t>
    </r>
  </si>
  <si>
    <r>
      <t>R</t>
    </r>
    <r>
      <rPr>
        <vertAlign val="subscript"/>
        <sz val="10"/>
        <rFont val="Verdana"/>
        <family val="2"/>
      </rPr>
      <t>c</t>
    </r>
  </si>
  <si>
    <r>
      <t>W</t>
    </r>
    <r>
      <rPr>
        <vertAlign val="subscript"/>
        <sz val="10"/>
        <rFont val="Verdana"/>
        <family val="2"/>
      </rPr>
      <t>c</t>
    </r>
  </si>
  <si>
    <t>Sel</t>
  </si>
  <si>
    <r>
      <t>t</t>
    </r>
    <r>
      <rPr>
        <b/>
        <vertAlign val="subscript"/>
        <sz val="6"/>
        <rFont val="Verdana"/>
        <family val="2"/>
      </rPr>
      <t>s</t>
    </r>
  </si>
  <si>
    <t>循环时间</t>
  </si>
  <si>
    <t>分度时间</t>
  </si>
  <si>
    <t>夹具居中半径</t>
  </si>
  <si>
    <t>夹具单套重量</t>
  </si>
  <si>
    <t>Gate Deutschland GmbH</t>
  </si>
  <si>
    <t>Phase cam</t>
  </si>
  <si>
    <t>Camma di fase</t>
  </si>
  <si>
    <t>Leva de fase</t>
  </si>
  <si>
    <t>Came de Phase</t>
  </si>
  <si>
    <t>Phasennocken</t>
  </si>
  <si>
    <t>Phase Cam</t>
  </si>
  <si>
    <t>BETTINELLI di Mellano Sebastiano</t>
  </si>
  <si>
    <t>Via Buon Riposo 7B - 04011- APRILIA (LT) Tel.06 877 29 563</t>
  </si>
  <si>
    <t>Unità locale: Via Gradisca  77 - 10136 TORINO (TO) Tel.  011 90 44 057</t>
  </si>
  <si>
    <t>GATE TECHNOLOGIES</t>
  </si>
  <si>
    <t xml:space="preserve"> e-mail info@gateti.com   www.gateti.com</t>
  </si>
  <si>
    <t>xx</t>
  </si>
  <si>
    <t>C-Ecam</t>
  </si>
  <si>
    <t>Torque limiter</t>
  </si>
  <si>
    <t>Limitatore di coppia</t>
  </si>
  <si>
    <t>Limitador de par</t>
  </si>
  <si>
    <t>Limiteur de couple</t>
  </si>
  <si>
    <t>Drehmomentbegrenzer</t>
  </si>
  <si>
    <t>X - NO</t>
  </si>
  <si>
    <t>G - YES</t>
  </si>
  <si>
    <t>G - SI</t>
  </si>
  <si>
    <t>G - OUI</t>
  </si>
  <si>
    <t>G - JA</t>
  </si>
  <si>
    <t>X - NEIN</t>
  </si>
  <si>
    <t>G - 是</t>
  </si>
  <si>
    <t>X - 否</t>
  </si>
  <si>
    <t>G - Evet</t>
  </si>
  <si>
    <t>X - Hayır</t>
  </si>
  <si>
    <t/>
  </si>
  <si>
    <t>1.Italy</t>
  </si>
  <si>
    <t>TRW 110</t>
  </si>
  <si>
    <t>TRW 160</t>
  </si>
  <si>
    <t>TRW 600</t>
  </si>
  <si>
    <t>TRW 700</t>
  </si>
  <si>
    <t>TRW 850</t>
  </si>
  <si>
    <t>Tel. +39 0373 237311    Fax. +39 0373 237538     e-mail: cds@bettinelli.it   www.cdsindexers.com</t>
  </si>
  <si>
    <t>C-1.20</t>
  </si>
  <si>
    <t>-</t>
  </si>
  <si>
    <r>
      <t xml:space="preserve">Via Leonardo da Vinci, 56    </t>
    </r>
    <r>
      <rPr>
        <b/>
        <sz val="10"/>
        <rFont val="Verdana"/>
        <family val="2"/>
      </rPr>
      <t>26010 BAGNOLO CREMASCO</t>
    </r>
    <r>
      <rPr>
        <sz val="10"/>
        <rFont val="Verdana"/>
        <family val="2"/>
      </rPr>
      <t xml:space="preserve"> (CR)</t>
    </r>
  </si>
  <si>
    <t xml:space="preserve"> e-mail info@gatedeutschland.de www.gatedeutschland.de</t>
  </si>
  <si>
    <t>e-mail sebastiano.mellano@bettinelli.it  www.cdsindexers.com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</si>
</sst>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[$-410]d\ mmmm\ yyyy;@"/>
    <numFmt numFmtId="165" formatCode="#,##0_ ;[Red]\-#,##0\ "/>
    <numFmt numFmtId="166" formatCode="#,##0.000"/>
    <numFmt numFmtId="167" formatCode="#,##0.0000"/>
  </numFmts>
  <fonts count="47">
    <font>
      <sz val="10"/>
      <name val="Arial CE"/>
    </font>
    <font>
      <sz val="8"/>
      <name val="Arial CE"/>
    </font>
    <font>
      <b/>
      <sz val="10"/>
      <name val="Arial CE"/>
    </font>
    <font>
      <sz val="10"/>
      <name val="Arial"/>
      <family val="2"/>
    </font>
    <font>
      <b/>
      <sz val="10"/>
      <name val="Symbol"/>
      <family val="1"/>
    </font>
    <font>
      <sz val="9"/>
      <name val="Arial CE"/>
    </font>
    <font>
      <b/>
      <sz val="11"/>
      <name val="Arial CE"/>
    </font>
    <font>
      <u/>
      <sz val="10"/>
      <color indexed="12"/>
      <name val="Arial CE"/>
    </font>
    <font>
      <b/>
      <sz val="9"/>
      <name val="Arial CE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u/>
      <sz val="10"/>
      <color theme="11"/>
      <name val="Arial CE"/>
    </font>
    <font>
      <sz val="12"/>
      <color rgb="FF9C6500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9"/>
      <name val="Verdana"/>
      <family val="2"/>
    </font>
    <font>
      <sz val="10"/>
      <color theme="0"/>
      <name val="Verdana"/>
      <family val="2"/>
    </font>
    <font>
      <sz val="10"/>
      <color indexed="9"/>
      <name val="Verdana"/>
      <family val="2"/>
    </font>
    <font>
      <b/>
      <sz val="8"/>
      <name val="Verdana"/>
      <family val="2"/>
    </font>
    <font>
      <b/>
      <sz val="5"/>
      <name val="Verdana"/>
      <family val="2"/>
    </font>
    <font>
      <sz val="5"/>
      <name val="Verdana"/>
      <family val="2"/>
    </font>
    <font>
      <sz val="12"/>
      <name val="Verdana"/>
      <family val="2"/>
    </font>
    <font>
      <b/>
      <sz val="12"/>
      <name val="Verdana"/>
      <family val="2"/>
    </font>
    <font>
      <sz val="8"/>
      <name val="Verdana"/>
      <family val="2"/>
    </font>
    <font>
      <b/>
      <sz val="10"/>
      <color indexed="9"/>
      <name val="Verdana"/>
      <family val="2"/>
    </font>
    <font>
      <b/>
      <sz val="14"/>
      <color indexed="10"/>
      <name val="Verdana"/>
      <family val="2"/>
    </font>
    <font>
      <sz val="14"/>
      <color indexed="10"/>
      <name val="Verdana"/>
      <family val="2"/>
    </font>
    <font>
      <b/>
      <sz val="10"/>
      <color theme="0"/>
      <name val="Verdana"/>
      <family val="2"/>
    </font>
    <font>
      <b/>
      <vertAlign val="subscript"/>
      <sz val="10"/>
      <name val="Verdana"/>
      <family val="2"/>
    </font>
    <font>
      <u/>
      <sz val="10"/>
      <color indexed="12"/>
      <name val="Verdana"/>
      <family val="2"/>
    </font>
    <font>
      <vertAlign val="subscript"/>
      <sz val="8"/>
      <name val="Verdana"/>
      <family val="2"/>
    </font>
    <font>
      <sz val="6"/>
      <name val="Verdana"/>
      <family val="2"/>
    </font>
    <font>
      <b/>
      <sz val="6"/>
      <name val="Verdana"/>
      <family val="2"/>
    </font>
    <font>
      <vertAlign val="subscript"/>
      <sz val="6"/>
      <name val="Verdana"/>
      <family val="2"/>
    </font>
    <font>
      <b/>
      <vertAlign val="subscript"/>
      <sz val="6"/>
      <name val="Verdana"/>
      <family val="2"/>
    </font>
    <font>
      <sz val="4"/>
      <name val="Verdana"/>
      <family val="2"/>
    </font>
    <font>
      <sz val="4"/>
      <name val="Arial CE"/>
    </font>
    <font>
      <b/>
      <sz val="8"/>
      <color theme="0"/>
      <name val="Verdana"/>
      <family val="2"/>
    </font>
    <font>
      <vertAlign val="superscript"/>
      <sz val="6"/>
      <name val="Verdana"/>
      <family val="2"/>
    </font>
    <font>
      <sz val="8"/>
      <color indexed="9"/>
      <name val="Verdana"/>
      <family val="2"/>
    </font>
    <font>
      <b/>
      <vertAlign val="subscript"/>
      <sz val="8"/>
      <name val="Verdana"/>
      <family val="2"/>
    </font>
    <font>
      <sz val="10"/>
      <name val="Symbol"/>
      <family val="1"/>
    </font>
    <font>
      <vertAlign val="subscript"/>
      <sz val="10"/>
      <name val="Verdana"/>
      <family val="2"/>
    </font>
    <font>
      <b/>
      <sz val="10"/>
      <name val="宋体"/>
      <charset val="134"/>
    </font>
    <font>
      <b/>
      <sz val="18"/>
      <name val="Verdana"/>
      <family val="2"/>
    </font>
    <font>
      <sz val="18"/>
      <name val="Arial CE"/>
    </font>
    <font>
      <b/>
      <sz val="9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EB9C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</fills>
  <borders count="121">
    <border>
      <left/>
      <right/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dashed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dashed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dashed">
        <color auto="1"/>
      </right>
      <top style="medium">
        <color auto="1"/>
      </top>
      <bottom/>
      <diagonal/>
    </border>
    <border>
      <left style="thin">
        <color auto="1"/>
      </left>
      <right style="dashed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dashed">
        <color auto="1"/>
      </right>
      <top style="thin">
        <color auto="1"/>
      </top>
      <bottom/>
      <diagonal/>
    </border>
    <border>
      <left style="dashed">
        <color auto="1"/>
      </left>
      <right style="dashed">
        <color auto="1"/>
      </right>
      <top style="thin">
        <color auto="1"/>
      </top>
      <bottom/>
      <diagonal/>
    </border>
    <border>
      <left style="thin">
        <color auto="1"/>
      </left>
      <right style="dashed">
        <color auto="1"/>
      </right>
      <top/>
      <bottom style="medium">
        <color auto="1"/>
      </bottom>
      <diagonal/>
    </border>
    <border>
      <left style="dashed">
        <color auto="1"/>
      </left>
      <right style="dashed">
        <color auto="1"/>
      </right>
      <top style="medium">
        <color auto="1"/>
      </top>
      <bottom/>
      <diagonal/>
    </border>
    <border>
      <left style="dashed">
        <color auto="1"/>
      </left>
      <right style="medium">
        <color auto="1"/>
      </right>
      <top style="medium">
        <color auto="1"/>
      </top>
      <bottom/>
      <diagonal/>
    </border>
    <border>
      <left style="dashed">
        <color auto="1"/>
      </left>
      <right style="dashed">
        <color auto="1"/>
      </right>
      <top/>
      <bottom style="medium">
        <color auto="1"/>
      </bottom>
      <diagonal/>
    </border>
    <border>
      <left style="dashed">
        <color auto="1"/>
      </left>
      <right style="medium">
        <color auto="1"/>
      </right>
      <top/>
      <bottom style="medium">
        <color auto="1"/>
      </bottom>
      <diagonal/>
    </border>
    <border>
      <left style="dashed">
        <color auto="1"/>
      </left>
      <right style="dashed">
        <color auto="1"/>
      </right>
      <top/>
      <bottom/>
      <diagonal/>
    </border>
    <border>
      <left style="dashed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 style="dashed">
        <color auto="1"/>
      </left>
      <right style="dashed">
        <color auto="1"/>
      </right>
      <top style="hair">
        <color auto="1"/>
      </top>
      <bottom style="thin">
        <color auto="1"/>
      </bottom>
      <diagonal/>
    </border>
    <border>
      <left style="dashed">
        <color auto="1"/>
      </left>
      <right style="medium">
        <color auto="1"/>
      </right>
      <top style="hair">
        <color auto="1"/>
      </top>
      <bottom style="thin">
        <color auto="1"/>
      </bottom>
      <diagonal/>
    </border>
    <border>
      <left style="dashed">
        <color auto="1"/>
      </left>
      <right style="medium">
        <color auto="1"/>
      </right>
      <top style="thin">
        <color auto="1"/>
      </top>
      <bottom style="hair">
        <color auto="1"/>
      </bottom>
      <diagonal/>
    </border>
    <border>
      <left style="dashed">
        <color auto="1"/>
      </left>
      <right style="dashed">
        <color auto="1"/>
      </right>
      <top style="hair">
        <color auto="1"/>
      </top>
      <bottom style="medium">
        <color auto="1"/>
      </bottom>
      <diagonal/>
    </border>
    <border>
      <left style="dashed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dashed">
        <color auto="1"/>
      </left>
      <right/>
      <top/>
      <bottom/>
      <diagonal/>
    </border>
    <border>
      <left style="dashed">
        <color auto="1"/>
      </left>
      <right/>
      <top style="hair">
        <color auto="1"/>
      </top>
      <bottom style="thin">
        <color auto="1"/>
      </bottom>
      <diagonal/>
    </border>
    <border>
      <left style="dashed">
        <color auto="1"/>
      </left>
      <right/>
      <top style="thin">
        <color auto="1"/>
      </top>
      <bottom/>
      <diagonal/>
    </border>
    <border>
      <left style="dashed">
        <color auto="1"/>
      </left>
      <right/>
      <top style="hair">
        <color auto="1"/>
      </top>
      <bottom style="medium">
        <color auto="1"/>
      </bottom>
      <diagonal/>
    </border>
    <border>
      <left style="medium">
        <color auto="1"/>
      </left>
      <right style="dashed">
        <color auto="1"/>
      </right>
      <top style="medium">
        <color auto="1"/>
      </top>
      <bottom/>
      <diagonal/>
    </border>
    <border>
      <left style="medium">
        <color auto="1"/>
      </left>
      <right style="dashed">
        <color auto="1"/>
      </right>
      <top/>
      <bottom style="medium">
        <color auto="1"/>
      </bottom>
      <diagonal/>
    </border>
    <border>
      <left style="medium">
        <color auto="1"/>
      </left>
      <right style="dashed">
        <color auto="1"/>
      </right>
      <top/>
      <bottom/>
      <diagonal/>
    </border>
    <border>
      <left style="medium">
        <color auto="1"/>
      </left>
      <right style="dashed">
        <color auto="1"/>
      </right>
      <top style="hair">
        <color auto="1"/>
      </top>
      <bottom style="thin">
        <color auto="1"/>
      </bottom>
      <diagonal/>
    </border>
    <border>
      <left style="medium">
        <color auto="1"/>
      </left>
      <right style="dashed">
        <color auto="1"/>
      </right>
      <top style="thin">
        <color auto="1"/>
      </top>
      <bottom/>
      <diagonal/>
    </border>
    <border>
      <left style="medium">
        <color auto="1"/>
      </left>
      <right style="dashed">
        <color auto="1"/>
      </right>
      <top style="hair">
        <color auto="1"/>
      </top>
      <bottom style="medium">
        <color auto="1"/>
      </bottom>
      <diagonal/>
    </border>
    <border>
      <left/>
      <right style="dashed">
        <color auto="1"/>
      </right>
      <top style="medium">
        <color auto="1"/>
      </top>
      <bottom/>
      <diagonal/>
    </border>
    <border>
      <left/>
      <right style="dashed">
        <color auto="1"/>
      </right>
      <top/>
      <bottom style="medium">
        <color auto="1"/>
      </bottom>
      <diagonal/>
    </border>
    <border>
      <left/>
      <right style="dashed">
        <color auto="1"/>
      </right>
      <top style="hair">
        <color auto="1"/>
      </top>
      <bottom style="thin">
        <color auto="1"/>
      </bottom>
      <diagonal/>
    </border>
    <border>
      <left/>
      <right style="dashed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/>
      <right/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dashed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dashed">
        <color auto="1"/>
      </right>
      <top style="hair">
        <color auto="1"/>
      </top>
      <bottom style="hair">
        <color auto="1"/>
      </bottom>
      <diagonal/>
    </border>
    <border>
      <left style="dashed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dashed">
        <color auto="1"/>
      </right>
      <top style="thin">
        <color auto="1"/>
      </top>
      <bottom style="thin">
        <color auto="1"/>
      </bottom>
      <diagonal/>
    </border>
    <border>
      <left style="dashed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dashed">
        <color auto="1"/>
      </right>
      <top style="thin">
        <color auto="1"/>
      </top>
      <bottom style="hair">
        <color auto="1"/>
      </bottom>
      <diagonal/>
    </border>
    <border>
      <left style="dashed">
        <color auto="1"/>
      </left>
      <right/>
      <top style="thin">
        <color auto="1"/>
      </top>
      <bottom style="hair">
        <color auto="1"/>
      </bottom>
      <diagonal/>
    </border>
    <border>
      <left/>
      <right style="dashed">
        <color auto="1"/>
      </right>
      <top style="hair">
        <color auto="1"/>
      </top>
      <bottom style="hair">
        <color auto="1"/>
      </bottom>
      <diagonal/>
    </border>
    <border>
      <left style="dashed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dashed">
        <color auto="1"/>
      </left>
      <right/>
      <top style="medium">
        <color auto="1"/>
      </top>
      <bottom/>
      <diagonal/>
    </border>
    <border>
      <left style="dashed">
        <color auto="1"/>
      </left>
      <right/>
      <top/>
      <bottom style="medium">
        <color auto="1"/>
      </bottom>
      <diagonal/>
    </border>
    <border>
      <left style="dashed">
        <color auto="1"/>
      </left>
      <right style="dashed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dashed">
        <color auto="1"/>
      </right>
      <top/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 style="dashed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dashed">
        <color auto="1"/>
      </left>
      <right style="medium">
        <color auto="1"/>
      </right>
      <top/>
      <bottom style="hair">
        <color auto="1"/>
      </bottom>
      <diagonal/>
    </border>
    <border>
      <left/>
      <right style="dashed">
        <color auto="1"/>
      </right>
      <top/>
      <bottom style="hair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dashed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dashed">
        <color auto="1"/>
      </left>
      <right style="dashed">
        <color auto="1"/>
      </right>
      <top style="medium">
        <color auto="1"/>
      </top>
      <bottom style="hair">
        <color auto="1"/>
      </bottom>
      <diagonal/>
    </border>
    <border>
      <left style="dashed">
        <color auto="1"/>
      </left>
      <right style="dashed">
        <color auto="1"/>
      </right>
      <top style="thin">
        <color auto="1"/>
      </top>
      <bottom style="hair">
        <color auto="1"/>
      </bottom>
      <diagonal/>
    </border>
    <border>
      <left/>
      <right style="thin">
        <color auto="1"/>
      </right>
      <top style="medium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medium">
        <color auto="1"/>
      </bottom>
      <diagonal/>
    </border>
    <border>
      <left/>
      <right style="thin">
        <color auto="1"/>
      </right>
      <top style="hair">
        <color auto="1"/>
      </top>
      <bottom style="thin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dashed">
        <color auto="1"/>
      </right>
      <top/>
      <bottom/>
      <diagonal/>
    </border>
    <border>
      <left style="thin">
        <color auto="1"/>
      </left>
      <right style="dashed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 style="dashed">
        <color auto="1"/>
      </left>
      <right style="thin">
        <color auto="1"/>
      </right>
      <top style="medium">
        <color auto="1"/>
      </top>
      <bottom/>
      <diagonal/>
    </border>
    <border>
      <left style="dashed">
        <color auto="1"/>
      </left>
      <right style="thin">
        <color auto="1"/>
      </right>
      <top style="thin">
        <color auto="1"/>
      </top>
      <bottom/>
      <diagonal/>
    </border>
    <border>
      <left style="dashed">
        <color auto="1"/>
      </left>
      <right style="thin">
        <color auto="1"/>
      </right>
      <top/>
      <bottom/>
      <diagonal/>
    </border>
    <border>
      <left style="dashed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</borders>
  <cellStyleXfs count="69">
    <xf numFmtId="0" fontId="0" fillId="0" borderId="0"/>
    <xf numFmtId="0" fontId="7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2" fillId="3" borderId="0" applyNumberFormat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432">
    <xf numFmtId="0" fontId="0" fillId="0" borderId="0" xfId="0"/>
    <xf numFmtId="0" fontId="2" fillId="0" borderId="0" xfId="0" applyFont="1"/>
    <xf numFmtId="4" fontId="2" fillId="0" borderId="0" xfId="0" applyNumberFormat="1" applyFont="1"/>
    <xf numFmtId="0" fontId="2" fillId="0" borderId="0" xfId="0" applyFont="1" applyAlignment="1"/>
    <xf numFmtId="0" fontId="0" fillId="0" borderId="0" xfId="0" applyAlignment="1"/>
    <xf numFmtId="0" fontId="5" fillId="0" borderId="0" xfId="0" applyFont="1"/>
    <xf numFmtId="0" fontId="2" fillId="2" borderId="0" xfId="0" applyFont="1" applyFill="1"/>
    <xf numFmtId="3" fontId="2" fillId="0" borderId="0" xfId="0" applyNumberFormat="1" applyFont="1" applyAlignment="1"/>
    <xf numFmtId="9" fontId="0" fillId="0" borderId="0" xfId="0" applyNumberFormat="1"/>
    <xf numFmtId="0" fontId="1" fillId="0" borderId="0" xfId="0" applyFont="1"/>
    <xf numFmtId="0" fontId="0" fillId="2" borderId="0" xfId="0" applyFill="1" applyAlignment="1"/>
    <xf numFmtId="0" fontId="8" fillId="0" borderId="0" xfId="0" applyFont="1" applyAlignment="1">
      <alignment horizontal="center"/>
    </xf>
    <xf numFmtId="3" fontId="8" fillId="0" borderId="0" xfId="0" applyNumberFormat="1" applyFont="1" applyFill="1" applyAlignment="1">
      <alignment horizontal="center"/>
    </xf>
    <xf numFmtId="3" fontId="2" fillId="2" borderId="0" xfId="0" applyNumberFormat="1" applyFont="1" applyFill="1" applyAlignment="1"/>
    <xf numFmtId="4" fontId="0" fillId="0" borderId="0" xfId="0" applyNumberFormat="1" applyAlignment="1"/>
    <xf numFmtId="4" fontId="0" fillId="0" borderId="4" xfId="0" applyNumberFormat="1" applyBorder="1" applyAlignment="1"/>
    <xf numFmtId="4" fontId="2" fillId="0" borderId="0" xfId="0" applyNumberFormat="1" applyFont="1" applyAlignment="1"/>
    <xf numFmtId="4" fontId="0" fillId="2" borderId="0" xfId="0" applyNumberFormat="1" applyFill="1" applyAlignment="1"/>
    <xf numFmtId="4" fontId="2" fillId="2" borderId="0" xfId="0" applyNumberFormat="1" applyFont="1" applyFill="1" applyAlignment="1"/>
    <xf numFmtId="14" fontId="0" fillId="2" borderId="0" xfId="0" applyNumberFormat="1" applyFill="1"/>
    <xf numFmtId="14" fontId="0" fillId="0" borderId="0" xfId="0" applyNumberFormat="1" applyFill="1"/>
    <xf numFmtId="0" fontId="0" fillId="2" borderId="0" xfId="0" applyFill="1"/>
    <xf numFmtId="4" fontId="0" fillId="0" borderId="0" xfId="0" applyNumberFormat="1" applyBorder="1" applyAlignment="1"/>
    <xf numFmtId="0" fontId="0" fillId="2" borderId="0" xfId="0" applyFill="1" applyAlignment="1">
      <alignment horizontal="right"/>
    </xf>
    <xf numFmtId="0" fontId="6" fillId="0" borderId="0" xfId="0" applyFont="1"/>
    <xf numFmtId="0" fontId="13" fillId="0" borderId="0" xfId="0" applyFont="1"/>
    <xf numFmtId="0" fontId="16" fillId="0" borderId="0" xfId="0" applyFont="1"/>
    <xf numFmtId="0" fontId="14" fillId="0" borderId="0" xfId="0" applyFont="1"/>
    <xf numFmtId="0" fontId="17" fillId="0" borderId="0" xfId="0" applyFont="1" applyAlignment="1">
      <alignment horizontal="center"/>
    </xf>
    <xf numFmtId="0" fontId="13" fillId="0" borderId="53" xfId="0" applyFont="1" applyBorder="1"/>
    <xf numFmtId="0" fontId="13" fillId="0" borderId="49" xfId="0" applyFont="1" applyBorder="1"/>
    <xf numFmtId="0" fontId="14" fillId="0" borderId="0" xfId="0" applyFont="1" applyAlignment="1">
      <alignment horizontal="center"/>
    </xf>
    <xf numFmtId="0" fontId="13" fillId="0" borderId="51" xfId="0" applyFont="1" applyBorder="1"/>
    <xf numFmtId="0" fontId="17" fillId="0" borderId="0" xfId="0" applyFont="1" applyBorder="1" applyAlignment="1"/>
    <xf numFmtId="0" fontId="14" fillId="0" borderId="0" xfId="0" applyFont="1" applyAlignment="1"/>
    <xf numFmtId="4" fontId="13" fillId="0" borderId="0" xfId="0" applyNumberFormat="1" applyFont="1"/>
    <xf numFmtId="0" fontId="17" fillId="0" borderId="0" xfId="0" applyFont="1"/>
    <xf numFmtId="0" fontId="13" fillId="0" borderId="0" xfId="0" applyFont="1" applyBorder="1"/>
    <xf numFmtId="0" fontId="14" fillId="0" borderId="0" xfId="0" applyFont="1" applyBorder="1"/>
    <xf numFmtId="0" fontId="13" fillId="0" borderId="0" xfId="0" quotePrefix="1" applyFont="1" applyBorder="1"/>
    <xf numFmtId="0" fontId="14" fillId="0" borderId="0" xfId="0" applyFont="1" applyFill="1" applyBorder="1"/>
    <xf numFmtId="0" fontId="14" fillId="0" borderId="0" xfId="0" applyFont="1" applyBorder="1" applyAlignment="1">
      <alignment horizontal="center"/>
    </xf>
    <xf numFmtId="0" fontId="13" fillId="0" borderId="0" xfId="0" applyFont="1" applyAlignment="1"/>
    <xf numFmtId="3" fontId="14" fillId="0" borderId="0" xfId="0" applyNumberFormat="1" applyFont="1"/>
    <xf numFmtId="0" fontId="17" fillId="0" borderId="24" xfId="0" applyFont="1" applyBorder="1"/>
    <xf numFmtId="0" fontId="14" fillId="0" borderId="8" xfId="0" applyFont="1" applyBorder="1" applyAlignment="1">
      <alignment horizontal="center"/>
    </xf>
    <xf numFmtId="0" fontId="14" fillId="0" borderId="13" xfId="0" applyFont="1" applyBorder="1" applyAlignment="1">
      <alignment horizontal="center"/>
    </xf>
    <xf numFmtId="0" fontId="14" fillId="0" borderId="41" xfId="0" applyFont="1" applyBorder="1" applyAlignment="1">
      <alignment horizontal="center" vertical="center"/>
    </xf>
    <xf numFmtId="0" fontId="14" fillId="0" borderId="39" xfId="0" applyFont="1" applyBorder="1" applyAlignment="1">
      <alignment horizontal="center"/>
    </xf>
    <xf numFmtId="0" fontId="14" fillId="0" borderId="35" xfId="0" applyFont="1" applyBorder="1" applyAlignment="1">
      <alignment horizontal="center"/>
    </xf>
    <xf numFmtId="0" fontId="14" fillId="0" borderId="29" xfId="0" applyFont="1" applyBorder="1" applyAlignment="1">
      <alignment horizontal="center"/>
    </xf>
    <xf numFmtId="0" fontId="14" fillId="0" borderId="14" xfId="0" applyFont="1" applyFill="1" applyBorder="1" applyAlignment="1">
      <alignment horizontal="center"/>
    </xf>
    <xf numFmtId="0" fontId="14" fillId="0" borderId="35" xfId="0" applyFont="1" applyBorder="1" applyAlignment="1">
      <alignment horizontal="center" vertical="center"/>
    </xf>
    <xf numFmtId="0" fontId="14" fillId="0" borderId="14" xfId="0" applyFont="1" applyFill="1" applyBorder="1" applyAlignment="1">
      <alignment horizontal="center" vertical="center"/>
    </xf>
    <xf numFmtId="0" fontId="14" fillId="2" borderId="48" xfId="0" applyFont="1" applyFill="1" applyBorder="1" applyAlignment="1">
      <alignment horizontal="center"/>
    </xf>
    <xf numFmtId="0" fontId="13" fillId="0" borderId="12" xfId="0" applyFont="1" applyBorder="1" applyAlignment="1">
      <alignment horizontal="center"/>
    </xf>
    <xf numFmtId="0" fontId="13" fillId="0" borderId="15" xfId="0" applyFont="1" applyBorder="1" applyAlignment="1">
      <alignment horizontal="center"/>
    </xf>
    <xf numFmtId="0" fontId="13" fillId="0" borderId="42" xfId="0" applyFont="1" applyBorder="1" applyAlignment="1">
      <alignment horizontal="center" vertical="center"/>
    </xf>
    <xf numFmtId="0" fontId="13" fillId="0" borderId="40" xfId="0" applyFont="1" applyBorder="1" applyAlignment="1">
      <alignment horizontal="center"/>
    </xf>
    <xf numFmtId="0" fontId="13" fillId="0" borderId="36" xfId="0" applyFont="1" applyBorder="1" applyAlignment="1">
      <alignment horizontal="center"/>
    </xf>
    <xf numFmtId="0" fontId="13" fillId="0" borderId="30" xfId="0" applyFont="1" applyBorder="1" applyAlignment="1">
      <alignment horizontal="center"/>
    </xf>
    <xf numFmtId="0" fontId="13" fillId="0" borderId="16" xfId="0" applyFont="1" applyFill="1" applyBorder="1" applyAlignment="1">
      <alignment horizontal="center"/>
    </xf>
    <xf numFmtId="0" fontId="13" fillId="0" borderId="36" xfId="0" applyFont="1" applyBorder="1" applyAlignment="1">
      <alignment horizontal="center" vertical="center"/>
    </xf>
    <xf numFmtId="0" fontId="13" fillId="0" borderId="16" xfId="0" applyFont="1" applyBorder="1" applyAlignment="1">
      <alignment horizontal="center" vertical="center"/>
    </xf>
    <xf numFmtId="4" fontId="14" fillId="0" borderId="44" xfId="0" applyNumberFormat="1" applyFont="1" applyBorder="1" applyAlignment="1"/>
    <xf numFmtId="4" fontId="14" fillId="0" borderId="31" xfId="0" applyNumberFormat="1" applyFont="1" applyBorder="1" applyAlignment="1"/>
    <xf numFmtId="4" fontId="14" fillId="0" borderId="18" xfId="0" applyNumberFormat="1" applyFont="1" applyBorder="1" applyAlignment="1"/>
    <xf numFmtId="4" fontId="13" fillId="0" borderId="95" xfId="0" applyNumberFormat="1" applyFont="1" applyBorder="1"/>
    <xf numFmtId="4" fontId="13" fillId="0" borderId="94" xfId="0" applyNumberFormat="1" applyFont="1" applyBorder="1"/>
    <xf numFmtId="4" fontId="14" fillId="0" borderId="45" xfId="0" applyNumberFormat="1" applyFont="1" applyBorder="1" applyAlignment="1"/>
    <xf numFmtId="4" fontId="13" fillId="0" borderId="19" xfId="0" applyNumberFormat="1" applyFont="1" applyBorder="1" applyAlignment="1"/>
    <xf numFmtId="4" fontId="14" fillId="0" borderId="32" xfId="0" applyNumberFormat="1" applyFont="1" applyBorder="1" applyAlignment="1"/>
    <xf numFmtId="4" fontId="14" fillId="0" borderId="20" xfId="0" applyNumberFormat="1" applyFont="1" applyBorder="1" applyAlignment="1"/>
    <xf numFmtId="4" fontId="13" fillId="0" borderId="68" xfId="0" applyNumberFormat="1" applyFont="1" applyBorder="1"/>
    <xf numFmtId="4" fontId="13" fillId="0" borderId="93" xfId="0" applyNumberFormat="1" applyFont="1" applyBorder="1"/>
    <xf numFmtId="4" fontId="14" fillId="0" borderId="46" xfId="0" applyNumberFormat="1" applyFont="1" applyBorder="1" applyAlignment="1"/>
    <xf numFmtId="4" fontId="14" fillId="0" borderId="33" xfId="0" applyNumberFormat="1" applyFont="1" applyBorder="1" applyAlignment="1"/>
    <xf numFmtId="4" fontId="14" fillId="0" borderId="21" xfId="0" applyNumberFormat="1" applyFont="1" applyBorder="1" applyAlignment="1"/>
    <xf numFmtId="4" fontId="14" fillId="0" borderId="47" xfId="0" applyNumberFormat="1" applyFont="1" applyBorder="1" applyAlignment="1"/>
    <xf numFmtId="4" fontId="13" fillId="0" borderId="22" xfId="0" applyNumberFormat="1" applyFont="1" applyBorder="1" applyAlignment="1"/>
    <xf numFmtId="4" fontId="14" fillId="0" borderId="34" xfId="0" applyNumberFormat="1" applyFont="1" applyBorder="1" applyAlignment="1"/>
    <xf numFmtId="4" fontId="14" fillId="0" borderId="23" xfId="0" applyNumberFormat="1" applyFont="1" applyBorder="1" applyAlignment="1"/>
    <xf numFmtId="4" fontId="13" fillId="0" borderId="38" xfId="0" applyNumberFormat="1" applyFont="1" applyBorder="1"/>
    <xf numFmtId="4" fontId="13" fillId="0" borderId="23" xfId="0" applyNumberFormat="1" applyFont="1" applyBorder="1"/>
    <xf numFmtId="4" fontId="14" fillId="0" borderId="100" xfId="0" applyNumberFormat="1" applyFont="1" applyBorder="1"/>
    <xf numFmtId="4" fontId="14" fillId="0" borderId="101" xfId="0" applyNumberFormat="1" applyFont="1" applyBorder="1"/>
    <xf numFmtId="3" fontId="13" fillId="0" borderId="0" xfId="0" applyNumberFormat="1" applyFont="1"/>
    <xf numFmtId="0" fontId="18" fillId="0" borderId="0" xfId="0" applyFont="1" applyFill="1" applyBorder="1" applyAlignment="1"/>
    <xf numFmtId="0" fontId="13" fillId="0" borderId="0" xfId="0" applyFont="1" applyAlignment="1">
      <alignment horizontal="center"/>
    </xf>
    <xf numFmtId="0" fontId="23" fillId="0" borderId="0" xfId="0" applyFont="1" applyBorder="1"/>
    <xf numFmtId="4" fontId="13" fillId="0" borderId="102" xfId="0" applyNumberFormat="1" applyFont="1" applyBorder="1" applyAlignment="1"/>
    <xf numFmtId="4" fontId="13" fillId="0" borderId="103" xfId="0" applyNumberFormat="1" applyFont="1" applyBorder="1" applyAlignment="1"/>
    <xf numFmtId="4" fontId="13" fillId="0" borderId="104" xfId="0" applyNumberFormat="1" applyFont="1" applyFill="1" applyBorder="1" applyAlignment="1"/>
    <xf numFmtId="4" fontId="13" fillId="0" borderId="105" xfId="0" applyNumberFormat="1" applyFont="1" applyFill="1" applyBorder="1" applyAlignment="1"/>
    <xf numFmtId="4" fontId="13" fillId="0" borderId="107" xfId="0" applyNumberFormat="1" applyFont="1" applyFill="1" applyBorder="1" applyAlignment="1"/>
    <xf numFmtId="4" fontId="13" fillId="0" borderId="106" xfId="0" applyNumberFormat="1" applyFont="1" applyFill="1" applyBorder="1" applyAlignment="1"/>
    <xf numFmtId="4" fontId="13" fillId="0" borderId="11" xfId="0" applyNumberFormat="1" applyFont="1" applyBorder="1" applyAlignment="1"/>
    <xf numFmtId="4" fontId="14" fillId="0" borderId="110" xfId="0" applyNumberFormat="1" applyFont="1" applyBorder="1" applyAlignment="1"/>
    <xf numFmtId="4" fontId="13" fillId="0" borderId="111" xfId="0" applyNumberFormat="1" applyFont="1" applyFill="1" applyBorder="1" applyAlignment="1"/>
    <xf numFmtId="3" fontId="21" fillId="0" borderId="3" xfId="14" applyNumberFormat="1" applyFont="1" applyFill="1" applyBorder="1" applyAlignment="1">
      <alignment horizontal="center" vertical="center"/>
    </xf>
    <xf numFmtId="0" fontId="27" fillId="0" borderId="3" xfId="0" applyFont="1" applyBorder="1" applyAlignment="1">
      <alignment horizontal="left"/>
    </xf>
    <xf numFmtId="4" fontId="13" fillId="4" borderId="8" xfId="0" applyNumberFormat="1" applyFont="1" applyFill="1" applyBorder="1" applyAlignment="1" applyProtection="1">
      <protection locked="0"/>
    </xf>
    <xf numFmtId="4" fontId="13" fillId="4" borderId="9" xfId="0" applyNumberFormat="1" applyFont="1" applyFill="1" applyBorder="1" applyAlignment="1" applyProtection="1">
      <protection locked="0"/>
    </xf>
    <xf numFmtId="4" fontId="13" fillId="4" borderId="10" xfId="0" applyNumberFormat="1" applyFont="1" applyFill="1" applyBorder="1" applyAlignment="1" applyProtection="1">
      <protection locked="0"/>
    </xf>
    <xf numFmtId="4" fontId="13" fillId="4" borderId="11" xfId="0" applyNumberFormat="1" applyFont="1" applyFill="1" applyBorder="1" applyAlignment="1" applyProtection="1">
      <protection locked="0"/>
    </xf>
    <xf numFmtId="4" fontId="13" fillId="4" borderId="19" xfId="0" applyNumberFormat="1" applyFont="1" applyFill="1" applyBorder="1" applyAlignment="1" applyProtection="1">
      <protection locked="0"/>
    </xf>
    <xf numFmtId="4" fontId="13" fillId="4" borderId="17" xfId="0" applyNumberFormat="1" applyFont="1" applyFill="1" applyBorder="1" applyAlignment="1" applyProtection="1">
      <protection locked="0"/>
    </xf>
    <xf numFmtId="4" fontId="13" fillId="4" borderId="22" xfId="0" applyNumberFormat="1" applyFont="1" applyFill="1" applyBorder="1" applyAlignment="1" applyProtection="1">
      <protection locked="0"/>
    </xf>
    <xf numFmtId="4" fontId="13" fillId="4" borderId="108" xfId="0" applyNumberFormat="1" applyFont="1" applyFill="1" applyBorder="1" applyAlignment="1" applyProtection="1">
      <protection locked="0"/>
    </xf>
    <xf numFmtId="4" fontId="13" fillId="4" borderId="109" xfId="0" applyNumberFormat="1" applyFont="1" applyFill="1" applyBorder="1" applyAlignment="1" applyProtection="1">
      <protection locked="0"/>
    </xf>
    <xf numFmtId="0" fontId="13" fillId="4" borderId="25" xfId="0" applyFont="1" applyFill="1" applyBorder="1" applyAlignment="1" applyProtection="1">
      <protection locked="0"/>
    </xf>
    <xf numFmtId="0" fontId="13" fillId="4" borderId="26" xfId="0" applyFont="1" applyFill="1" applyBorder="1" applyAlignment="1" applyProtection="1">
      <protection locked="0"/>
    </xf>
    <xf numFmtId="0" fontId="13" fillId="4" borderId="27" xfId="0" applyFont="1" applyFill="1" applyBorder="1" applyAlignment="1" applyProtection="1">
      <protection locked="0"/>
    </xf>
    <xf numFmtId="0" fontId="13" fillId="4" borderId="28" xfId="0" applyFont="1" applyFill="1" applyBorder="1" applyAlignment="1" applyProtection="1">
      <protection locked="0"/>
    </xf>
    <xf numFmtId="0" fontId="13" fillId="4" borderId="97" xfId="0" applyFont="1" applyFill="1" applyBorder="1" applyAlignment="1" applyProtection="1">
      <alignment horizontal="center" vertical="center"/>
      <protection locked="0"/>
    </xf>
    <xf numFmtId="0" fontId="13" fillId="4" borderId="98" xfId="0" applyFont="1" applyFill="1" applyBorder="1" applyAlignment="1" applyProtection="1">
      <alignment horizontal="center" vertical="center"/>
      <protection locked="0"/>
    </xf>
    <xf numFmtId="0" fontId="13" fillId="4" borderId="99" xfId="0" applyFont="1" applyFill="1" applyBorder="1" applyAlignment="1" applyProtection="1">
      <alignment horizontal="center" vertical="center"/>
      <protection locked="0"/>
    </xf>
    <xf numFmtId="0" fontId="13" fillId="2" borderId="2" xfId="0" applyFont="1" applyFill="1" applyBorder="1" applyProtection="1">
      <protection locked="0"/>
    </xf>
    <xf numFmtId="0" fontId="13" fillId="2" borderId="0" xfId="0" applyFont="1" applyFill="1" applyProtection="1">
      <protection locked="0"/>
    </xf>
    <xf numFmtId="0" fontId="14" fillId="4" borderId="54" xfId="0" applyFont="1" applyFill="1" applyBorder="1" applyAlignment="1" applyProtection="1">
      <alignment horizontal="center"/>
      <protection locked="0"/>
    </xf>
    <xf numFmtId="0" fontId="14" fillId="4" borderId="56" xfId="0" applyFont="1" applyFill="1" applyBorder="1" applyAlignment="1" applyProtection="1">
      <alignment horizontal="center"/>
      <protection locked="0"/>
    </xf>
    <xf numFmtId="0" fontId="14" fillId="4" borderId="57" xfId="0" applyFont="1" applyFill="1" applyBorder="1" applyAlignment="1" applyProtection="1">
      <alignment horizontal="center"/>
      <protection locked="0"/>
    </xf>
    <xf numFmtId="0" fontId="18" fillId="4" borderId="4" xfId="0" applyFont="1" applyFill="1" applyBorder="1" applyAlignment="1" applyProtection="1">
      <alignment horizontal="center" vertical="center"/>
      <protection locked="0"/>
    </xf>
    <xf numFmtId="4" fontId="14" fillId="4" borderId="56" xfId="0" applyNumberFormat="1" applyFont="1" applyFill="1" applyBorder="1" applyProtection="1">
      <protection locked="0"/>
    </xf>
    <xf numFmtId="4" fontId="14" fillId="4" borderId="43" xfId="0" applyNumberFormat="1" applyFont="1" applyFill="1" applyBorder="1" applyProtection="1">
      <protection locked="0"/>
    </xf>
    <xf numFmtId="4" fontId="14" fillId="4" borderId="71" xfId="0" applyNumberFormat="1" applyFont="1" applyFill="1" applyBorder="1" applyProtection="1">
      <protection locked="0"/>
    </xf>
    <xf numFmtId="4" fontId="14" fillId="4" borderId="4" xfId="0" applyNumberFormat="1" applyFont="1" applyFill="1" applyBorder="1" applyProtection="1">
      <protection locked="0"/>
    </xf>
    <xf numFmtId="4" fontId="14" fillId="4" borderId="54" xfId="0" applyNumberFormat="1" applyFont="1" applyFill="1" applyBorder="1" applyProtection="1">
      <protection locked="0"/>
    </xf>
    <xf numFmtId="0" fontId="13" fillId="4" borderId="65" xfId="14" applyFont="1" applyFill="1" applyBorder="1" applyAlignment="1" applyProtection="1">
      <alignment horizontal="center"/>
      <protection locked="0"/>
    </xf>
    <xf numFmtId="4" fontId="14" fillId="4" borderId="0" xfId="0" applyNumberFormat="1" applyFont="1" applyFill="1" applyBorder="1" applyProtection="1">
      <protection locked="0"/>
    </xf>
    <xf numFmtId="0" fontId="18" fillId="0" borderId="0" xfId="0" applyFont="1" applyFill="1" applyBorder="1" applyAlignment="1" applyProtection="1">
      <alignment horizontal="center" vertical="center"/>
      <protection locked="0"/>
    </xf>
    <xf numFmtId="0" fontId="18" fillId="0" borderId="0" xfId="2" applyFont="1" applyAlignment="1" applyProtection="1">
      <alignment horizontal="center"/>
      <protection hidden="1"/>
    </xf>
    <xf numFmtId="0" fontId="18" fillId="0" borderId="0" xfId="2" applyFont="1" applyBorder="1" applyAlignment="1" applyProtection="1">
      <alignment horizontal="center"/>
      <protection hidden="1"/>
    </xf>
    <xf numFmtId="0" fontId="14" fillId="0" borderId="0" xfId="2" applyFont="1" applyAlignment="1" applyProtection="1">
      <alignment horizontal="center"/>
      <protection hidden="1"/>
    </xf>
    <xf numFmtId="3" fontId="35" fillId="0" borderId="0" xfId="2" applyNumberFormat="1" applyFont="1" applyAlignment="1" applyProtection="1">
      <alignment horizontal="center"/>
      <protection hidden="1"/>
    </xf>
    <xf numFmtId="4" fontId="35" fillId="0" borderId="0" xfId="2" applyNumberFormat="1" applyFont="1" applyBorder="1" applyAlignment="1" applyProtection="1">
      <alignment horizontal="center" vertical="center"/>
      <protection hidden="1"/>
    </xf>
    <xf numFmtId="4" fontId="35" fillId="0" borderId="0" xfId="2" applyNumberFormat="1" applyFont="1" applyBorder="1" applyProtection="1">
      <protection hidden="1"/>
    </xf>
    <xf numFmtId="4" fontId="35" fillId="0" borderId="0" xfId="2" applyNumberFormat="1" applyFont="1" applyProtection="1">
      <protection hidden="1"/>
    </xf>
    <xf numFmtId="0" fontId="13" fillId="0" borderId="0" xfId="2" applyFont="1" applyProtection="1">
      <protection hidden="1"/>
    </xf>
    <xf numFmtId="2" fontId="36" fillId="0" borderId="0" xfId="0" applyNumberFormat="1" applyFont="1" applyBorder="1" applyProtection="1">
      <protection hidden="1"/>
    </xf>
    <xf numFmtId="0" fontId="23" fillId="0" borderId="0" xfId="2" applyFont="1" applyProtection="1">
      <protection hidden="1"/>
    </xf>
    <xf numFmtId="0" fontId="23" fillId="0" borderId="0" xfId="2" applyFont="1" applyBorder="1" applyAlignment="1" applyProtection="1">
      <alignment horizontal="center" vertical="center"/>
      <protection hidden="1"/>
    </xf>
    <xf numFmtId="4" fontId="23" fillId="0" borderId="0" xfId="2" applyNumberFormat="1" applyFont="1" applyBorder="1" applyProtection="1">
      <protection hidden="1"/>
    </xf>
    <xf numFmtId="4" fontId="23" fillId="0" borderId="0" xfId="2" applyNumberFormat="1" applyFont="1" applyProtection="1">
      <protection hidden="1"/>
    </xf>
    <xf numFmtId="0" fontId="23" fillId="0" borderId="0" xfId="2" applyFont="1" applyAlignment="1" applyProtection="1">
      <protection hidden="1"/>
    </xf>
    <xf numFmtId="0" fontId="31" fillId="0" borderId="1" xfId="2" applyFont="1" applyBorder="1" applyProtection="1">
      <protection hidden="1"/>
    </xf>
    <xf numFmtId="0" fontId="32" fillId="0" borderId="1" xfId="2" applyFont="1" applyBorder="1" applyAlignment="1" applyProtection="1">
      <alignment horizontal="center" vertical="center"/>
      <protection hidden="1"/>
    </xf>
    <xf numFmtId="0" fontId="32" fillId="0" borderId="1" xfId="0" applyFont="1" applyBorder="1" applyAlignment="1" applyProtection="1">
      <alignment horizontal="center" vertical="center"/>
      <protection hidden="1"/>
    </xf>
    <xf numFmtId="4" fontId="32" fillId="0" borderId="1" xfId="2" applyNumberFormat="1" applyFont="1" applyBorder="1" applyAlignment="1" applyProtection="1">
      <alignment horizontal="center" vertical="center"/>
      <protection hidden="1"/>
    </xf>
    <xf numFmtId="4" fontId="32" fillId="0" borderId="1" xfId="2" applyNumberFormat="1" applyFont="1" applyBorder="1" applyAlignment="1" applyProtection="1">
      <alignment horizontal="center"/>
      <protection hidden="1"/>
    </xf>
    <xf numFmtId="0" fontId="32" fillId="0" borderId="0" xfId="2" applyFont="1" applyBorder="1" applyAlignment="1" applyProtection="1">
      <alignment horizontal="center"/>
      <protection hidden="1"/>
    </xf>
    <xf numFmtId="0" fontId="31" fillId="0" borderId="0" xfId="2" applyFont="1" applyAlignment="1" applyProtection="1">
      <protection hidden="1"/>
    </xf>
    <xf numFmtId="0" fontId="31" fillId="0" borderId="0" xfId="2" applyFont="1" applyProtection="1">
      <protection hidden="1"/>
    </xf>
    <xf numFmtId="3" fontId="31" fillId="0" borderId="0" xfId="2" applyNumberFormat="1" applyFont="1" applyProtection="1">
      <protection hidden="1"/>
    </xf>
    <xf numFmtId="4" fontId="31" fillId="0" borderId="0" xfId="2" applyNumberFormat="1" applyFont="1" applyProtection="1">
      <protection hidden="1"/>
    </xf>
    <xf numFmtId="0" fontId="31" fillId="0" borderId="0" xfId="2" applyNumberFormat="1" applyFont="1" applyProtection="1">
      <protection hidden="1"/>
    </xf>
    <xf numFmtId="3" fontId="31" fillId="0" borderId="0" xfId="0" applyNumberFormat="1" applyFont="1" applyProtection="1">
      <protection hidden="1"/>
    </xf>
    <xf numFmtId="165" fontId="31" fillId="0" borderId="0" xfId="2" applyNumberFormat="1" applyFont="1" applyFill="1" applyProtection="1">
      <protection hidden="1"/>
    </xf>
    <xf numFmtId="3" fontId="31" fillId="0" borderId="0" xfId="2" applyNumberFormat="1" applyFont="1" applyFill="1" applyProtection="1">
      <protection hidden="1"/>
    </xf>
    <xf numFmtId="166" fontId="31" fillId="0" borderId="0" xfId="2" applyNumberFormat="1" applyFont="1" applyAlignment="1" applyProtection="1">
      <alignment horizontal="center"/>
      <protection hidden="1"/>
    </xf>
    <xf numFmtId="4" fontId="32" fillId="0" borderId="0" xfId="2" applyNumberFormat="1" applyFont="1" applyProtection="1">
      <protection hidden="1"/>
    </xf>
    <xf numFmtId="10" fontId="31" fillId="0" borderId="0" xfId="2" applyNumberFormat="1" applyFont="1" applyProtection="1">
      <protection hidden="1"/>
    </xf>
    <xf numFmtId="4" fontId="31" fillId="0" borderId="0" xfId="2" applyNumberFormat="1" applyFont="1" applyAlignment="1" applyProtection="1">
      <alignment horizontal="center"/>
      <protection hidden="1"/>
    </xf>
    <xf numFmtId="0" fontId="31" fillId="0" borderId="0" xfId="2" applyFont="1" applyAlignment="1" applyProtection="1">
      <alignment horizontal="right"/>
      <protection hidden="1"/>
    </xf>
    <xf numFmtId="167" fontId="31" fillId="0" borderId="0" xfId="2" applyNumberFormat="1" applyFont="1" applyProtection="1">
      <protection hidden="1"/>
    </xf>
    <xf numFmtId="4" fontId="32" fillId="0" borderId="0" xfId="2" applyNumberFormat="1" applyFont="1" applyAlignment="1" applyProtection="1">
      <alignment horizontal="center"/>
      <protection hidden="1"/>
    </xf>
    <xf numFmtId="4" fontId="31" fillId="0" borderId="0" xfId="2" applyNumberFormat="1" applyFont="1" applyAlignment="1" applyProtection="1">
      <alignment horizontal="right"/>
      <protection hidden="1"/>
    </xf>
    <xf numFmtId="0" fontId="32" fillId="0" borderId="0" xfId="2" applyFont="1" applyAlignment="1" applyProtection="1">
      <alignment horizontal="center"/>
      <protection hidden="1"/>
    </xf>
    <xf numFmtId="3" fontId="31" fillId="0" borderId="4" xfId="2" applyNumberFormat="1" applyFont="1" applyBorder="1" applyProtection="1">
      <protection hidden="1"/>
    </xf>
    <xf numFmtId="4" fontId="31" fillId="0" borderId="4" xfId="2" applyNumberFormat="1" applyFont="1" applyBorder="1" applyProtection="1">
      <protection hidden="1"/>
    </xf>
    <xf numFmtId="0" fontId="31" fillId="0" borderId="4" xfId="2" applyFont="1" applyBorder="1" applyProtection="1">
      <protection hidden="1"/>
    </xf>
    <xf numFmtId="0" fontId="31" fillId="0" borderId="4" xfId="2" applyNumberFormat="1" applyFont="1" applyBorder="1" applyProtection="1">
      <protection hidden="1"/>
    </xf>
    <xf numFmtId="3" fontId="31" fillId="0" borderId="4" xfId="0" applyNumberFormat="1" applyFont="1" applyBorder="1" applyProtection="1">
      <protection hidden="1"/>
    </xf>
    <xf numFmtId="165" fontId="31" fillId="0" borderId="4" xfId="2" applyNumberFormat="1" applyFont="1" applyFill="1" applyBorder="1" applyProtection="1">
      <protection hidden="1"/>
    </xf>
    <xf numFmtId="3" fontId="31" fillId="0" borderId="4" xfId="2" applyNumberFormat="1" applyFont="1" applyFill="1" applyBorder="1" applyProtection="1">
      <protection hidden="1"/>
    </xf>
    <xf numFmtId="166" fontId="31" fillId="0" borderId="4" xfId="2" applyNumberFormat="1" applyFont="1" applyBorder="1" applyAlignment="1" applyProtection="1">
      <alignment horizontal="center"/>
      <protection hidden="1"/>
    </xf>
    <xf numFmtId="4" fontId="32" fillId="0" borderId="4" xfId="2" applyNumberFormat="1" applyFont="1" applyBorder="1" applyProtection="1">
      <protection hidden="1"/>
    </xf>
    <xf numFmtId="10" fontId="31" fillId="0" borderId="4" xfId="2" applyNumberFormat="1" applyFont="1" applyBorder="1" applyProtection="1">
      <protection hidden="1"/>
    </xf>
    <xf numFmtId="4" fontId="31" fillId="0" borderId="4" xfId="2" applyNumberFormat="1" applyFont="1" applyBorder="1" applyAlignment="1" applyProtection="1">
      <alignment horizontal="center"/>
      <protection hidden="1"/>
    </xf>
    <xf numFmtId="0" fontId="31" fillId="0" borderId="4" xfId="2" applyFont="1" applyBorder="1" applyAlignment="1" applyProtection="1">
      <alignment horizontal="right"/>
      <protection hidden="1"/>
    </xf>
    <xf numFmtId="167" fontId="32" fillId="0" borderId="0" xfId="2" applyNumberFormat="1" applyFont="1" applyBorder="1" applyAlignment="1" applyProtection="1">
      <alignment horizontal="center"/>
      <protection hidden="1"/>
    </xf>
    <xf numFmtId="4" fontId="32" fillId="0" borderId="0" xfId="2" applyNumberFormat="1" applyFont="1" applyBorder="1" applyAlignment="1" applyProtection="1">
      <alignment horizontal="center"/>
      <protection hidden="1"/>
    </xf>
    <xf numFmtId="4" fontId="31" fillId="0" borderId="3" xfId="2" applyNumberFormat="1" applyFont="1" applyBorder="1" applyProtection="1">
      <protection hidden="1"/>
    </xf>
    <xf numFmtId="3" fontId="31" fillId="0" borderId="0" xfId="2" applyNumberFormat="1" applyFont="1" applyBorder="1" applyProtection="1">
      <protection hidden="1"/>
    </xf>
    <xf numFmtId="167" fontId="31" fillId="0" borderId="3" xfId="2" applyNumberFormat="1" applyFont="1" applyBorder="1" applyProtection="1">
      <protection hidden="1"/>
    </xf>
    <xf numFmtId="167" fontId="31" fillId="0" borderId="0" xfId="2" applyNumberFormat="1" applyFont="1" applyAlignment="1" applyProtection="1">
      <alignment horizontal="center"/>
      <protection hidden="1"/>
    </xf>
    <xf numFmtId="167" fontId="32" fillId="0" borderId="4" xfId="2" applyNumberFormat="1" applyFont="1" applyBorder="1" applyAlignment="1" applyProtection="1">
      <alignment horizontal="center"/>
      <protection hidden="1"/>
    </xf>
    <xf numFmtId="0" fontId="32" fillId="0" borderId="4" xfId="2" applyFont="1" applyBorder="1" applyAlignment="1" applyProtection="1">
      <alignment horizontal="center"/>
      <protection hidden="1"/>
    </xf>
    <xf numFmtId="4" fontId="32" fillId="0" borderId="4" xfId="2" applyNumberFormat="1" applyFont="1" applyBorder="1" applyAlignment="1" applyProtection="1">
      <alignment horizontal="center"/>
      <protection hidden="1"/>
    </xf>
    <xf numFmtId="167" fontId="32" fillId="0" borderId="0" xfId="2" applyNumberFormat="1" applyFont="1" applyAlignment="1" applyProtection="1">
      <alignment horizontal="center"/>
      <protection hidden="1"/>
    </xf>
    <xf numFmtId="4" fontId="31" fillId="0" borderId="0" xfId="2" applyNumberFormat="1" applyFont="1" applyBorder="1" applyProtection="1">
      <protection hidden="1"/>
    </xf>
    <xf numFmtId="167" fontId="31" fillId="0" borderId="0" xfId="2" applyNumberFormat="1" applyFont="1" applyBorder="1" applyProtection="1">
      <protection hidden="1"/>
    </xf>
    <xf numFmtId="4" fontId="31" fillId="0" borderId="54" xfId="2" applyNumberFormat="1" applyFont="1" applyBorder="1" applyProtection="1">
      <protection hidden="1"/>
    </xf>
    <xf numFmtId="0" fontId="32" fillId="0" borderId="54" xfId="2" applyFont="1" applyBorder="1" applyProtection="1">
      <protection hidden="1"/>
    </xf>
    <xf numFmtId="4" fontId="32" fillId="0" borderId="54" xfId="2" applyNumberFormat="1" applyFont="1" applyBorder="1" applyProtection="1">
      <protection hidden="1"/>
    </xf>
    <xf numFmtId="10" fontId="32" fillId="0" borderId="54" xfId="2" applyNumberFormat="1" applyFont="1" applyBorder="1" applyAlignment="1" applyProtection="1">
      <protection hidden="1"/>
    </xf>
    <xf numFmtId="2" fontId="31" fillId="0" borderId="54" xfId="2" applyNumberFormat="1" applyFont="1" applyBorder="1" applyProtection="1">
      <protection hidden="1"/>
    </xf>
    <xf numFmtId="167" fontId="31" fillId="0" borderId="3" xfId="2" applyNumberFormat="1" applyFont="1" applyFill="1" applyBorder="1" applyProtection="1">
      <protection hidden="1"/>
    </xf>
    <xf numFmtId="0" fontId="13" fillId="0" borderId="3" xfId="2" applyFont="1" applyFill="1" applyBorder="1" applyProtection="1">
      <protection hidden="1"/>
    </xf>
    <xf numFmtId="0" fontId="13" fillId="0" borderId="0" xfId="2" applyFont="1" applyBorder="1" applyProtection="1">
      <protection hidden="1"/>
    </xf>
    <xf numFmtId="167" fontId="31" fillId="0" borderId="4" xfId="2" applyNumberFormat="1" applyFont="1" applyBorder="1" applyAlignment="1" applyProtection="1">
      <alignment horizontal="center"/>
      <protection hidden="1"/>
    </xf>
    <xf numFmtId="167" fontId="31" fillId="0" borderId="4" xfId="2" applyNumberFormat="1" applyFont="1" applyBorder="1" applyProtection="1">
      <protection hidden="1"/>
    </xf>
    <xf numFmtId="167" fontId="18" fillId="0" borderId="0" xfId="2" applyNumberFormat="1" applyFont="1" applyAlignment="1" applyProtection="1">
      <alignment horizontal="center"/>
      <protection hidden="1"/>
    </xf>
    <xf numFmtId="0" fontId="31" fillId="0" borderId="3" xfId="2" applyFont="1" applyBorder="1" applyProtection="1">
      <protection hidden="1"/>
    </xf>
    <xf numFmtId="0" fontId="31" fillId="0" borderId="3" xfId="2" applyNumberFormat="1" applyFont="1" applyBorder="1" applyProtection="1">
      <protection hidden="1"/>
    </xf>
    <xf numFmtId="165" fontId="31" fillId="0" borderId="3" xfId="2" applyNumberFormat="1" applyFont="1" applyFill="1" applyBorder="1" applyProtection="1">
      <protection hidden="1"/>
    </xf>
    <xf numFmtId="3" fontId="31" fillId="0" borderId="3" xfId="2" applyNumberFormat="1" applyFont="1" applyBorder="1" applyProtection="1">
      <protection hidden="1"/>
    </xf>
    <xf numFmtId="3" fontId="31" fillId="0" borderId="3" xfId="2" applyNumberFormat="1" applyFont="1" applyFill="1" applyBorder="1" applyProtection="1">
      <protection hidden="1"/>
    </xf>
    <xf numFmtId="10" fontId="31" fillId="0" borderId="3" xfId="2" applyNumberFormat="1" applyFont="1" applyBorder="1" applyProtection="1">
      <protection hidden="1"/>
    </xf>
    <xf numFmtId="4" fontId="31" fillId="0" borderId="0" xfId="2" applyNumberFormat="1" applyFont="1" applyBorder="1" applyAlignment="1" applyProtection="1">
      <alignment horizontal="center"/>
      <protection hidden="1"/>
    </xf>
    <xf numFmtId="0" fontId="31" fillId="0" borderId="0" xfId="2" applyFont="1" applyBorder="1" applyAlignment="1" applyProtection="1">
      <alignment horizontal="right"/>
      <protection hidden="1"/>
    </xf>
    <xf numFmtId="0" fontId="31" fillId="0" borderId="0" xfId="2" applyFont="1" applyBorder="1" applyProtection="1">
      <protection hidden="1"/>
    </xf>
    <xf numFmtId="0" fontId="31" fillId="0" borderId="0" xfId="2" applyNumberFormat="1" applyFont="1" applyBorder="1" applyProtection="1">
      <protection hidden="1"/>
    </xf>
    <xf numFmtId="165" fontId="31" fillId="0" borderId="0" xfId="2" applyNumberFormat="1" applyFont="1" applyFill="1" applyBorder="1" applyProtection="1">
      <protection hidden="1"/>
    </xf>
    <xf numFmtId="3" fontId="31" fillId="0" borderId="0" xfId="2" applyNumberFormat="1" applyFont="1" applyFill="1" applyBorder="1" applyProtection="1">
      <protection hidden="1"/>
    </xf>
    <xf numFmtId="4" fontId="32" fillId="0" borderId="0" xfId="2" applyNumberFormat="1" applyFont="1" applyBorder="1" applyProtection="1">
      <protection hidden="1"/>
    </xf>
    <xf numFmtId="10" fontId="31" fillId="0" borderId="0" xfId="2" applyNumberFormat="1" applyFont="1" applyBorder="1" applyProtection="1">
      <protection hidden="1"/>
    </xf>
    <xf numFmtId="166" fontId="31" fillId="0" borderId="0" xfId="2" applyNumberFormat="1" applyFont="1" applyBorder="1" applyAlignment="1" applyProtection="1">
      <alignment horizontal="right"/>
      <protection hidden="1"/>
    </xf>
    <xf numFmtId="0" fontId="31" fillId="0" borderId="42" xfId="2" applyFont="1" applyBorder="1" applyProtection="1">
      <protection hidden="1"/>
    </xf>
    <xf numFmtId="4" fontId="31" fillId="0" borderId="42" xfId="2" applyNumberFormat="1" applyFont="1" applyBorder="1" applyProtection="1">
      <protection hidden="1"/>
    </xf>
    <xf numFmtId="0" fontId="31" fillId="0" borderId="0" xfId="2" applyFont="1" applyFill="1" applyProtection="1">
      <protection hidden="1"/>
    </xf>
    <xf numFmtId="4" fontId="31" fillId="0" borderId="0" xfId="2" applyNumberFormat="1" applyFont="1" applyFill="1" applyProtection="1">
      <protection hidden="1"/>
    </xf>
    <xf numFmtId="0" fontId="31" fillId="0" borderId="0" xfId="2" applyNumberFormat="1" applyFont="1" applyFill="1" applyProtection="1">
      <protection hidden="1"/>
    </xf>
    <xf numFmtId="4" fontId="31" fillId="0" borderId="0" xfId="2" applyNumberFormat="1" applyFont="1" applyFill="1" applyAlignment="1" applyProtection="1">
      <protection hidden="1"/>
    </xf>
    <xf numFmtId="4" fontId="31" fillId="0" borderId="42" xfId="2" applyNumberFormat="1" applyFont="1" applyFill="1" applyBorder="1" applyAlignment="1" applyProtection="1">
      <protection hidden="1"/>
    </xf>
    <xf numFmtId="0" fontId="43" fillId="0" borderId="0" xfId="0" applyFont="1"/>
    <xf numFmtId="0" fontId="13" fillId="0" borderId="0" xfId="0" applyFont="1" applyAlignment="1"/>
    <xf numFmtId="0" fontId="14" fillId="0" borderId="0" xfId="0" applyFont="1" applyAlignment="1"/>
    <xf numFmtId="0" fontId="15" fillId="0" borderId="0" xfId="0" applyFont="1" applyAlignment="1"/>
    <xf numFmtId="0" fontId="23" fillId="0" borderId="0" xfId="0" applyFont="1" applyAlignment="1"/>
    <xf numFmtId="0" fontId="13" fillId="0" borderId="0" xfId="0" applyFont="1" applyAlignment="1"/>
    <xf numFmtId="0" fontId="13" fillId="0" borderId="0" xfId="0" applyFont="1" applyProtection="1">
      <protection hidden="1"/>
    </xf>
    <xf numFmtId="0" fontId="23" fillId="0" borderId="54" xfId="0" applyFont="1" applyBorder="1" applyProtection="1">
      <protection hidden="1"/>
    </xf>
    <xf numFmtId="0" fontId="13" fillId="0" borderId="54" xfId="0" applyFont="1" applyBorder="1" applyProtection="1">
      <protection hidden="1"/>
    </xf>
    <xf numFmtId="0" fontId="23" fillId="0" borderId="0" xfId="0" applyFont="1" applyProtection="1">
      <protection hidden="1"/>
    </xf>
    <xf numFmtId="0" fontId="23" fillId="0" borderId="0" xfId="0" applyFont="1" applyBorder="1" applyAlignment="1" applyProtection="1">
      <protection hidden="1"/>
    </xf>
    <xf numFmtId="0" fontId="13" fillId="0" borderId="0" xfId="0" applyFont="1" applyBorder="1" applyAlignment="1" applyProtection="1">
      <protection hidden="1"/>
    </xf>
    <xf numFmtId="0" fontId="23" fillId="0" borderId="0" xfId="0" applyFont="1" applyBorder="1" applyProtection="1">
      <protection hidden="1"/>
    </xf>
    <xf numFmtId="0" fontId="13" fillId="0" borderId="0" xfId="0" applyFont="1" applyBorder="1" applyProtection="1">
      <protection hidden="1"/>
    </xf>
    <xf numFmtId="0" fontId="23" fillId="0" borderId="4" xfId="0" applyFont="1" applyBorder="1" applyProtection="1">
      <protection hidden="1"/>
    </xf>
    <xf numFmtId="0" fontId="13" fillId="0" borderId="4" xfId="0" applyFont="1" applyBorder="1" applyProtection="1">
      <protection hidden="1"/>
    </xf>
    <xf numFmtId="0" fontId="13" fillId="0" borderId="55" xfId="0" applyFont="1" applyBorder="1" applyProtection="1">
      <protection hidden="1"/>
    </xf>
    <xf numFmtId="0" fontId="13" fillId="0" borderId="50" xfId="0" applyFont="1" applyBorder="1" applyProtection="1">
      <protection hidden="1"/>
    </xf>
    <xf numFmtId="0" fontId="13" fillId="0" borderId="52" xfId="0" applyFont="1" applyBorder="1" applyProtection="1">
      <protection hidden="1"/>
    </xf>
    <xf numFmtId="0" fontId="13" fillId="0" borderId="58" xfId="0" quotePrefix="1" applyFont="1" applyBorder="1" applyProtection="1">
      <protection hidden="1"/>
    </xf>
    <xf numFmtId="0" fontId="23" fillId="0" borderId="3" xfId="0" applyFont="1" applyBorder="1" applyProtection="1">
      <protection hidden="1"/>
    </xf>
    <xf numFmtId="0" fontId="13" fillId="0" borderId="3" xfId="0" applyFont="1" applyBorder="1" applyProtection="1">
      <protection hidden="1"/>
    </xf>
    <xf numFmtId="0" fontId="13" fillId="0" borderId="49" xfId="0" quotePrefix="1" applyFont="1" applyBorder="1" applyProtection="1">
      <protection hidden="1"/>
    </xf>
    <xf numFmtId="0" fontId="13" fillId="0" borderId="51" xfId="0" quotePrefix="1" applyFont="1" applyBorder="1" applyProtection="1">
      <protection hidden="1"/>
    </xf>
    <xf numFmtId="0" fontId="13" fillId="0" borderId="59" xfId="0" applyFont="1" applyBorder="1" applyAlignment="1" applyProtection="1">
      <protection hidden="1"/>
    </xf>
    <xf numFmtId="0" fontId="13" fillId="0" borderId="50" xfId="0" applyFont="1" applyBorder="1" applyAlignment="1" applyProtection="1">
      <protection hidden="1"/>
    </xf>
    <xf numFmtId="0" fontId="13" fillId="0" borderId="52" xfId="0" applyFont="1" applyBorder="1" applyAlignment="1" applyProtection="1">
      <protection hidden="1"/>
    </xf>
    <xf numFmtId="0" fontId="23" fillId="0" borderId="4" xfId="0" applyFont="1" applyFill="1" applyBorder="1" applyProtection="1">
      <protection hidden="1"/>
    </xf>
    <xf numFmtId="0" fontId="13" fillId="0" borderId="53" xfId="0" quotePrefix="1" applyFont="1" applyBorder="1" applyProtection="1">
      <protection hidden="1"/>
    </xf>
    <xf numFmtId="0" fontId="13" fillId="0" borderId="59" xfId="0" applyFont="1" applyBorder="1" applyAlignment="1" applyProtection="1">
      <alignment horizontal="left"/>
      <protection hidden="1"/>
    </xf>
    <xf numFmtId="0" fontId="13" fillId="0" borderId="52" xfId="0" applyFont="1" applyBorder="1" applyAlignment="1" applyProtection="1">
      <alignment horizontal="left"/>
      <protection hidden="1"/>
    </xf>
    <xf numFmtId="0" fontId="13" fillId="0" borderId="50" xfId="0" applyFont="1" applyBorder="1" applyAlignment="1" applyProtection="1">
      <alignment horizontal="left"/>
      <protection hidden="1"/>
    </xf>
    <xf numFmtId="0" fontId="13" fillId="0" borderId="55" xfId="0" applyFont="1" applyBorder="1" applyAlignment="1" applyProtection="1">
      <alignment horizontal="left"/>
      <protection hidden="1"/>
    </xf>
    <xf numFmtId="0" fontId="14" fillId="0" borderId="0" xfId="0" applyFont="1" applyProtection="1">
      <protection hidden="1"/>
    </xf>
    <xf numFmtId="0" fontId="18" fillId="0" borderId="53" xfId="0" applyFont="1" applyBorder="1" applyProtection="1">
      <protection hidden="1"/>
    </xf>
    <xf numFmtId="0" fontId="41" fillId="0" borderId="55" xfId="0" applyFont="1" applyBorder="1" applyProtection="1">
      <protection hidden="1"/>
    </xf>
    <xf numFmtId="0" fontId="18" fillId="0" borderId="53" xfId="0" applyFont="1" applyBorder="1" applyAlignment="1" applyProtection="1">
      <alignment horizontal="center"/>
      <protection hidden="1"/>
    </xf>
    <xf numFmtId="0" fontId="18" fillId="0" borderId="55" xfId="0" applyFont="1" applyBorder="1" applyProtection="1">
      <protection hidden="1"/>
    </xf>
    <xf numFmtId="0" fontId="18" fillId="0" borderId="113" xfId="0" applyFont="1" applyBorder="1" applyProtection="1">
      <protection hidden="1"/>
    </xf>
    <xf numFmtId="0" fontId="13" fillId="0" borderId="107" xfId="0" applyFont="1" applyBorder="1" applyProtection="1">
      <protection hidden="1"/>
    </xf>
    <xf numFmtId="4" fontId="18" fillId="0" borderId="113" xfId="0" applyNumberFormat="1" applyFont="1" applyBorder="1" applyAlignment="1" applyProtection="1">
      <alignment horizontal="right"/>
      <protection hidden="1"/>
    </xf>
    <xf numFmtId="0" fontId="23" fillId="0" borderId="107" xfId="0" applyFont="1" applyBorder="1" applyProtection="1">
      <protection hidden="1"/>
    </xf>
    <xf numFmtId="2" fontId="13" fillId="0" borderId="0" xfId="0" applyNumberFormat="1" applyFont="1" applyProtection="1">
      <protection hidden="1"/>
    </xf>
    <xf numFmtId="0" fontId="18" fillId="0" borderId="112" xfId="0" applyFont="1" applyBorder="1" applyProtection="1">
      <protection hidden="1"/>
    </xf>
    <xf numFmtId="0" fontId="13" fillId="0" borderId="106" xfId="0" applyFont="1" applyBorder="1" applyProtection="1">
      <protection hidden="1"/>
    </xf>
    <xf numFmtId="4" fontId="18" fillId="0" borderId="112" xfId="0" applyNumberFormat="1" applyFont="1" applyBorder="1" applyAlignment="1" applyProtection="1">
      <alignment horizontal="right"/>
      <protection hidden="1"/>
    </xf>
    <xf numFmtId="0" fontId="23" fillId="0" borderId="106" xfId="0" applyFont="1" applyBorder="1" applyProtection="1">
      <protection hidden="1"/>
    </xf>
    <xf numFmtId="0" fontId="18" fillId="0" borderId="0" xfId="0" applyFont="1" applyProtection="1">
      <protection hidden="1"/>
    </xf>
    <xf numFmtId="0" fontId="4" fillId="0" borderId="0" xfId="0" applyFont="1" applyProtection="1">
      <protection hidden="1"/>
    </xf>
    <xf numFmtId="0" fontId="14" fillId="0" borderId="0" xfId="0" applyFont="1" applyAlignment="1" applyProtection="1">
      <alignment horizontal="center"/>
      <protection hidden="1"/>
    </xf>
    <xf numFmtId="0" fontId="19" fillId="0" borderId="0" xfId="0" applyFont="1" applyAlignment="1" applyProtection="1">
      <protection hidden="1"/>
    </xf>
    <xf numFmtId="0" fontId="20" fillId="0" borderId="0" xfId="0" applyFont="1" applyAlignment="1" applyProtection="1">
      <protection hidden="1"/>
    </xf>
    <xf numFmtId="0" fontId="13" fillId="0" borderId="53" xfId="0" applyFont="1" applyBorder="1" applyProtection="1">
      <protection hidden="1"/>
    </xf>
    <xf numFmtId="0" fontId="18" fillId="0" borderId="63" xfId="0" applyFont="1" applyBorder="1" applyAlignment="1" applyProtection="1">
      <alignment horizontal="center"/>
      <protection hidden="1"/>
    </xf>
    <xf numFmtId="0" fontId="18" fillId="0" borderId="64" xfId="0" applyFont="1" applyBorder="1" applyAlignment="1" applyProtection="1">
      <alignment horizontal="center"/>
      <protection hidden="1"/>
    </xf>
    <xf numFmtId="0" fontId="18" fillId="0" borderId="60" xfId="0" applyFont="1" applyBorder="1" applyAlignment="1" applyProtection="1">
      <alignment horizontal="left"/>
      <protection hidden="1"/>
    </xf>
    <xf numFmtId="0" fontId="23" fillId="0" borderId="5" xfId="0" applyFont="1" applyBorder="1" applyProtection="1">
      <protection hidden="1"/>
    </xf>
    <xf numFmtId="4" fontId="31" fillId="0" borderId="66" xfId="0" applyNumberFormat="1" applyFont="1" applyBorder="1" applyProtection="1">
      <protection hidden="1"/>
    </xf>
    <xf numFmtId="4" fontId="31" fillId="0" borderId="67" xfId="0" applyNumberFormat="1" applyFont="1" applyBorder="1" applyProtection="1">
      <protection hidden="1"/>
    </xf>
    <xf numFmtId="0" fontId="18" fillId="0" borderId="61" xfId="0" applyFont="1" applyBorder="1" applyAlignment="1" applyProtection="1">
      <alignment horizontal="left"/>
      <protection hidden="1"/>
    </xf>
    <xf numFmtId="0" fontId="23" fillId="0" borderId="6" xfId="0" applyFont="1" applyBorder="1" applyProtection="1">
      <protection hidden="1"/>
    </xf>
    <xf numFmtId="4" fontId="31" fillId="0" borderId="68" xfId="0" applyNumberFormat="1" applyFont="1" applyBorder="1" applyProtection="1">
      <protection hidden="1"/>
    </xf>
    <xf numFmtId="4" fontId="31" fillId="0" borderId="69" xfId="0" applyNumberFormat="1" applyFont="1" applyBorder="1" applyProtection="1">
      <protection hidden="1"/>
    </xf>
    <xf numFmtId="0" fontId="18" fillId="0" borderId="9" xfId="0" applyFont="1" applyBorder="1" applyProtection="1">
      <protection hidden="1"/>
    </xf>
    <xf numFmtId="0" fontId="23" fillId="0" borderId="62" xfId="0" applyFont="1" applyBorder="1" applyProtection="1">
      <protection hidden="1"/>
    </xf>
    <xf numFmtId="0" fontId="18" fillId="0" borderId="65" xfId="0" applyFont="1" applyBorder="1" applyAlignment="1" applyProtection="1">
      <alignment horizontal="center"/>
      <protection hidden="1"/>
    </xf>
    <xf numFmtId="4" fontId="32" fillId="0" borderId="46" xfId="0" applyNumberFormat="1" applyFont="1" applyBorder="1" applyProtection="1">
      <protection hidden="1"/>
    </xf>
    <xf numFmtId="4" fontId="32" fillId="0" borderId="70" xfId="0" applyNumberFormat="1" applyFont="1" applyBorder="1" applyProtection="1">
      <protection hidden="1"/>
    </xf>
    <xf numFmtId="4" fontId="18" fillId="0" borderId="45" xfId="0" applyNumberFormat="1" applyFont="1" applyBorder="1" applyProtection="1">
      <protection hidden="1"/>
    </xf>
    <xf numFmtId="0" fontId="14" fillId="0" borderId="0" xfId="0" applyFont="1" applyBorder="1" applyProtection="1">
      <protection hidden="1"/>
    </xf>
    <xf numFmtId="4" fontId="13" fillId="0" borderId="0" xfId="0" applyNumberFormat="1" applyFont="1" applyBorder="1" applyProtection="1">
      <protection hidden="1"/>
    </xf>
    <xf numFmtId="0" fontId="13" fillId="0" borderId="0" xfId="0" applyFont="1" applyFill="1" applyBorder="1" applyProtection="1">
      <protection hidden="1"/>
    </xf>
    <xf numFmtId="4" fontId="14" fillId="0" borderId="115" xfId="0" applyNumberFormat="1" applyFont="1" applyBorder="1" applyProtection="1">
      <protection hidden="1"/>
    </xf>
    <xf numFmtId="0" fontId="13" fillId="0" borderId="116" xfId="0" applyFont="1" applyBorder="1" applyProtection="1">
      <protection hidden="1"/>
    </xf>
    <xf numFmtId="4" fontId="14" fillId="0" borderId="42" xfId="0" applyNumberFormat="1" applyFont="1" applyBorder="1" applyProtection="1">
      <protection hidden="1"/>
    </xf>
    <xf numFmtId="0" fontId="13" fillId="0" borderId="79" xfId="0" applyFont="1" applyBorder="1" applyProtection="1">
      <protection hidden="1"/>
    </xf>
    <xf numFmtId="0" fontId="13" fillId="0" borderId="0" xfId="0" quotePrefix="1" applyFont="1" applyBorder="1" applyProtection="1">
      <protection hidden="1"/>
    </xf>
    <xf numFmtId="0" fontId="22" fillId="0" borderId="0" xfId="0" applyFont="1" applyBorder="1" applyProtection="1">
      <protection hidden="1"/>
    </xf>
    <xf numFmtId="4" fontId="14" fillId="0" borderId="0" xfId="0" applyNumberFormat="1" applyFont="1" applyFill="1" applyBorder="1" applyProtection="1">
      <protection hidden="1"/>
    </xf>
    <xf numFmtId="0" fontId="14" fillId="0" borderId="0" xfId="0" applyFont="1" applyBorder="1" applyAlignment="1" applyProtection="1">
      <alignment horizontal="left"/>
      <protection hidden="1"/>
    </xf>
    <xf numFmtId="0" fontId="17" fillId="0" borderId="0" xfId="0" applyFont="1" applyProtection="1">
      <protection hidden="1"/>
    </xf>
    <xf numFmtId="3" fontId="14" fillId="0" borderId="0" xfId="0" applyNumberFormat="1" applyFont="1" applyProtection="1">
      <protection hidden="1"/>
    </xf>
    <xf numFmtId="3" fontId="14" fillId="0" borderId="0" xfId="0" applyNumberFormat="1" applyFont="1" applyFill="1" applyBorder="1" applyProtection="1">
      <protection hidden="1"/>
    </xf>
    <xf numFmtId="0" fontId="18" fillId="0" borderId="0" xfId="0" applyFont="1" applyFill="1" applyBorder="1" applyAlignment="1" applyProtection="1">
      <alignment horizontal="left"/>
      <protection hidden="1"/>
    </xf>
    <xf numFmtId="0" fontId="13" fillId="0" borderId="0" xfId="0" quotePrefix="1" applyFont="1" applyBorder="1" applyAlignment="1" applyProtection="1">
      <protection hidden="1"/>
    </xf>
    <xf numFmtId="0" fontId="14" fillId="0" borderId="0" xfId="0" applyFont="1" applyBorder="1" applyAlignment="1" applyProtection="1">
      <protection hidden="1"/>
    </xf>
    <xf numFmtId="0" fontId="14" fillId="0" borderId="0" xfId="0" applyFont="1" applyFill="1" applyBorder="1" applyAlignment="1" applyProtection="1">
      <protection hidden="1"/>
    </xf>
    <xf numFmtId="0" fontId="18" fillId="0" borderId="0" xfId="0" applyFont="1" applyFill="1" applyBorder="1" applyAlignment="1" applyProtection="1">
      <protection hidden="1"/>
    </xf>
    <xf numFmtId="0" fontId="27" fillId="0" borderId="0" xfId="0" applyFont="1" applyFill="1" applyBorder="1" applyAlignment="1" applyProtection="1">
      <protection hidden="1"/>
    </xf>
    <xf numFmtId="0" fontId="37" fillId="0" borderId="0" xfId="0" applyFont="1" applyFill="1" applyBorder="1" applyAlignment="1" applyProtection="1">
      <protection hidden="1"/>
    </xf>
    <xf numFmtId="0" fontId="23" fillId="0" borderId="0" xfId="0" applyFont="1" applyFill="1" applyProtection="1">
      <protection hidden="1"/>
    </xf>
    <xf numFmtId="0" fontId="16" fillId="0" borderId="0" xfId="0" applyFont="1" applyProtection="1">
      <protection hidden="1"/>
    </xf>
    <xf numFmtId="0" fontId="16" fillId="0" borderId="0" xfId="0" applyFont="1" applyFill="1" applyProtection="1">
      <protection hidden="1"/>
    </xf>
    <xf numFmtId="0" fontId="16" fillId="0" borderId="0" xfId="0" applyNumberFormat="1" applyFont="1" applyFill="1" applyProtection="1">
      <protection hidden="1"/>
    </xf>
    <xf numFmtId="4" fontId="13" fillId="0" borderId="0" xfId="0" applyNumberFormat="1" applyFont="1" applyProtection="1">
      <protection hidden="1"/>
    </xf>
    <xf numFmtId="0" fontId="16" fillId="0" borderId="0" xfId="0" applyFont="1" applyAlignment="1" applyProtection="1">
      <protection hidden="1"/>
    </xf>
    <xf numFmtId="2" fontId="39" fillId="0" borderId="0" xfId="0" applyNumberFormat="1" applyFont="1" applyProtection="1">
      <protection hidden="1"/>
    </xf>
    <xf numFmtId="2" fontId="17" fillId="0" borderId="0" xfId="0" applyNumberFormat="1" applyFont="1" applyProtection="1">
      <protection hidden="1"/>
    </xf>
    <xf numFmtId="0" fontId="17" fillId="0" borderId="0" xfId="0" applyFont="1" applyAlignment="1" applyProtection="1">
      <protection hidden="1"/>
    </xf>
    <xf numFmtId="0" fontId="24" fillId="0" borderId="0" xfId="0" applyFont="1" applyProtection="1">
      <protection hidden="1"/>
    </xf>
    <xf numFmtId="4" fontId="14" fillId="0" borderId="0" xfId="0" applyNumberFormat="1" applyFont="1" applyProtection="1">
      <protection hidden="1"/>
    </xf>
    <xf numFmtId="0" fontId="13" fillId="0" borderId="0" xfId="0" applyFont="1" applyAlignment="1" applyProtection="1">
      <protection hidden="1"/>
    </xf>
    <xf numFmtId="0" fontId="18" fillId="4" borderId="57" xfId="0" applyFont="1" applyFill="1" applyBorder="1" applyAlignment="1" applyProtection="1">
      <alignment horizontal="center" vertical="center"/>
      <protection locked="0"/>
    </xf>
    <xf numFmtId="0" fontId="18" fillId="5" borderId="0" xfId="2" applyFont="1" applyFill="1" applyBorder="1" applyAlignment="1" applyProtection="1">
      <alignment horizontal="center"/>
      <protection hidden="1"/>
    </xf>
    <xf numFmtId="4" fontId="18" fillId="6" borderId="0" xfId="2" applyNumberFormat="1" applyFont="1" applyFill="1" applyAlignment="1" applyProtection="1">
      <alignment horizontal="center"/>
      <protection hidden="1"/>
    </xf>
    <xf numFmtId="0" fontId="23" fillId="4" borderId="117" xfId="0" applyFont="1" applyFill="1" applyBorder="1" applyAlignment="1" applyProtection="1">
      <alignment horizontal="center" vertical="center"/>
      <protection locked="0"/>
    </xf>
    <xf numFmtId="0" fontId="23" fillId="4" borderId="62" xfId="0" applyFont="1" applyFill="1" applyBorder="1" applyAlignment="1" applyProtection="1">
      <alignment horizontal="center" vertical="center"/>
      <protection locked="0"/>
    </xf>
    <xf numFmtId="0" fontId="23" fillId="4" borderId="118" xfId="0" applyFont="1" applyFill="1" applyBorder="1" applyAlignment="1" applyProtection="1">
      <alignment horizontal="center" vertical="center"/>
      <protection locked="0"/>
    </xf>
    <xf numFmtId="0" fontId="23" fillId="4" borderId="119" xfId="0" applyFont="1" applyFill="1" applyBorder="1" applyAlignment="1" applyProtection="1">
      <alignment horizontal="center" vertical="center"/>
      <protection locked="0"/>
    </xf>
    <xf numFmtId="0" fontId="23" fillId="4" borderId="120" xfId="0" applyFont="1" applyFill="1" applyBorder="1" applyAlignment="1" applyProtection="1">
      <alignment horizontal="center" vertical="center"/>
      <protection locked="0"/>
    </xf>
    <xf numFmtId="0" fontId="13" fillId="0" borderId="0" xfId="0" quotePrefix="1" applyFont="1"/>
    <xf numFmtId="3" fontId="31" fillId="0" borderId="0" xfId="0" applyNumberFormat="1" applyFont="1" applyBorder="1" applyProtection="1">
      <protection hidden="1"/>
    </xf>
    <xf numFmtId="4" fontId="31" fillId="0" borderId="0" xfId="2" applyNumberFormat="1" applyFont="1" applyFill="1" applyBorder="1" applyProtection="1">
      <protection hidden="1"/>
    </xf>
    <xf numFmtId="0" fontId="13" fillId="0" borderId="0" xfId="0" applyFont="1" applyAlignment="1" applyProtection="1">
      <protection hidden="1"/>
    </xf>
    <xf numFmtId="0" fontId="0" fillId="0" borderId="0" xfId="0" applyAlignment="1" applyProtection="1">
      <protection hidden="1"/>
    </xf>
    <xf numFmtId="0" fontId="44" fillId="0" borderId="0" xfId="0" applyFont="1" applyAlignment="1" applyProtection="1">
      <protection hidden="1"/>
    </xf>
    <xf numFmtId="0" fontId="45" fillId="0" borderId="0" xfId="0" applyFont="1" applyAlignment="1" applyProtection="1">
      <protection hidden="1"/>
    </xf>
    <xf numFmtId="4" fontId="35" fillId="0" borderId="0" xfId="2" applyNumberFormat="1" applyFont="1" applyFill="1" applyBorder="1" applyProtection="1">
      <protection hidden="1"/>
    </xf>
    <xf numFmtId="4" fontId="35" fillId="0" borderId="0" xfId="2" applyNumberFormat="1" applyFont="1" applyFill="1" applyProtection="1">
      <protection hidden="1"/>
    </xf>
    <xf numFmtId="0" fontId="14" fillId="0" borderId="0" xfId="0" applyFont="1" applyFill="1" applyBorder="1" applyAlignment="1"/>
    <xf numFmtId="0" fontId="13" fillId="0" borderId="0" xfId="0" applyFont="1" applyAlignment="1"/>
    <xf numFmtId="0" fontId="14" fillId="0" borderId="0" xfId="0" applyFont="1" applyAlignment="1"/>
    <xf numFmtId="0" fontId="0" fillId="0" borderId="0" xfId="0" applyAlignment="1"/>
    <xf numFmtId="49" fontId="13" fillId="2" borderId="72" xfId="0" applyNumberFormat="1" applyFont="1" applyFill="1" applyBorder="1" applyAlignment="1" applyProtection="1">
      <protection locked="0"/>
    </xf>
    <xf numFmtId="49" fontId="13" fillId="2" borderId="1" xfId="0" applyNumberFormat="1" applyFont="1" applyFill="1" applyBorder="1" applyAlignment="1" applyProtection="1">
      <protection locked="0"/>
    </xf>
    <xf numFmtId="49" fontId="13" fillId="2" borderId="73" xfId="0" applyNumberFormat="1" applyFont="1" applyFill="1" applyBorder="1" applyAlignment="1" applyProtection="1">
      <protection locked="0"/>
    </xf>
    <xf numFmtId="0" fontId="13" fillId="2" borderId="72" xfId="0" applyFont="1" applyFill="1" applyBorder="1" applyAlignment="1" applyProtection="1">
      <protection locked="0"/>
    </xf>
    <xf numFmtId="0" fontId="13" fillId="2" borderId="1" xfId="0" applyFont="1" applyFill="1" applyBorder="1" applyAlignment="1" applyProtection="1">
      <protection locked="0"/>
    </xf>
    <xf numFmtId="0" fontId="13" fillId="2" borderId="73" xfId="0" applyFont="1" applyFill="1" applyBorder="1" applyAlignment="1" applyProtection="1">
      <protection locked="0"/>
    </xf>
    <xf numFmtId="0" fontId="29" fillId="2" borderId="72" xfId="1" applyFont="1" applyFill="1" applyBorder="1" applyAlignment="1" applyProtection="1">
      <protection locked="0"/>
    </xf>
    <xf numFmtId="0" fontId="14" fillId="2" borderId="72" xfId="0" applyFont="1" applyFill="1" applyBorder="1" applyAlignment="1" applyProtection="1">
      <protection locked="0"/>
    </xf>
    <xf numFmtId="0" fontId="14" fillId="2" borderId="1" xfId="0" applyFont="1" applyFill="1" applyBorder="1" applyAlignment="1" applyProtection="1">
      <protection locked="0"/>
    </xf>
    <xf numFmtId="0" fontId="14" fillId="2" borderId="73" xfId="0" applyFont="1" applyFill="1" applyBorder="1" applyAlignment="1" applyProtection="1">
      <protection locked="0"/>
    </xf>
    <xf numFmtId="0" fontId="13" fillId="2" borderId="74" xfId="0" applyFont="1" applyFill="1" applyBorder="1" applyAlignment="1" applyProtection="1">
      <alignment vertical="top" wrapText="1"/>
      <protection locked="0"/>
    </xf>
    <xf numFmtId="0" fontId="13" fillId="2" borderId="41" xfId="0" applyFont="1" applyFill="1" applyBorder="1" applyAlignment="1" applyProtection="1">
      <alignment vertical="top" wrapText="1"/>
      <protection locked="0"/>
    </xf>
    <xf numFmtId="0" fontId="13" fillId="2" borderId="75" xfId="0" applyFont="1" applyFill="1" applyBorder="1" applyAlignment="1" applyProtection="1">
      <alignment vertical="top" wrapText="1"/>
      <protection locked="0"/>
    </xf>
    <xf numFmtId="0" fontId="13" fillId="2" borderId="76" xfId="0" applyFont="1" applyFill="1" applyBorder="1" applyAlignment="1" applyProtection="1">
      <alignment vertical="top" wrapText="1"/>
      <protection locked="0"/>
    </xf>
    <xf numFmtId="0" fontId="13" fillId="2" borderId="0" xfId="0" applyFont="1" applyFill="1" applyBorder="1" applyAlignment="1" applyProtection="1">
      <alignment vertical="top" wrapText="1"/>
      <protection locked="0"/>
    </xf>
    <xf numFmtId="0" fontId="13" fillId="2" borderId="77" xfId="0" applyFont="1" applyFill="1" applyBorder="1" applyAlignment="1" applyProtection="1">
      <alignment vertical="top" wrapText="1"/>
      <protection locked="0"/>
    </xf>
    <xf numFmtId="0" fontId="13" fillId="2" borderId="78" xfId="0" applyFont="1" applyFill="1" applyBorder="1" applyAlignment="1" applyProtection="1">
      <alignment vertical="top" wrapText="1"/>
      <protection locked="0"/>
    </xf>
    <xf numFmtId="0" fontId="13" fillId="2" borderId="42" xfId="0" applyFont="1" applyFill="1" applyBorder="1" applyAlignment="1" applyProtection="1">
      <alignment vertical="top" wrapText="1"/>
      <protection locked="0"/>
    </xf>
    <xf numFmtId="0" fontId="13" fillId="2" borderId="79" xfId="0" applyFont="1" applyFill="1" applyBorder="1" applyAlignment="1" applyProtection="1">
      <alignment vertical="top" wrapText="1"/>
      <protection locked="0"/>
    </xf>
    <xf numFmtId="0" fontId="13" fillId="2" borderId="72" xfId="0" applyFont="1" applyFill="1" applyBorder="1" applyAlignment="1" applyProtection="1">
      <alignment wrapText="1"/>
      <protection locked="0"/>
    </xf>
    <xf numFmtId="0" fontId="13" fillId="2" borderId="1" xfId="0" applyFont="1" applyFill="1" applyBorder="1" applyAlignment="1" applyProtection="1">
      <alignment wrapText="1"/>
      <protection locked="0"/>
    </xf>
    <xf numFmtId="0" fontId="13" fillId="2" borderId="73" xfId="0" applyFont="1" applyFill="1" applyBorder="1" applyAlignment="1" applyProtection="1">
      <alignment wrapText="1"/>
      <protection locked="0"/>
    </xf>
    <xf numFmtId="0" fontId="13" fillId="0" borderId="83" xfId="0" applyFont="1" applyBorder="1" applyAlignment="1">
      <alignment horizontal="center" vertical="center" wrapText="1"/>
    </xf>
    <xf numFmtId="0" fontId="13" fillId="0" borderId="48" xfId="0" applyFont="1" applyBorder="1" applyAlignment="1">
      <alignment horizontal="center" vertical="center" wrapText="1"/>
    </xf>
    <xf numFmtId="4" fontId="13" fillId="0" borderId="11" xfId="0" applyNumberFormat="1" applyFont="1" applyBorder="1" applyAlignment="1"/>
    <xf numFmtId="0" fontId="13" fillId="0" borderId="82" xfId="0" applyFont="1" applyBorder="1" applyAlignment="1"/>
    <xf numFmtId="0" fontId="13" fillId="0" borderId="84" xfId="0" applyFont="1" applyBorder="1" applyAlignment="1">
      <alignment horizontal="center" vertical="center" wrapText="1"/>
    </xf>
    <xf numFmtId="4" fontId="13" fillId="0" borderId="10" xfId="0" applyNumberFormat="1" applyFont="1" applyBorder="1" applyAlignment="1"/>
    <xf numFmtId="0" fontId="13" fillId="0" borderId="12" xfId="0" applyFont="1" applyBorder="1" applyAlignment="1"/>
    <xf numFmtId="0" fontId="13" fillId="0" borderId="11" xfId="0" applyFont="1" applyBorder="1" applyAlignment="1"/>
    <xf numFmtId="0" fontId="13" fillId="0" borderId="15" xfId="0" applyFont="1" applyBorder="1" applyAlignment="1"/>
    <xf numFmtId="0" fontId="13" fillId="0" borderId="86" xfId="0" applyFont="1" applyBorder="1" applyAlignment="1"/>
    <xf numFmtId="0" fontId="14" fillId="0" borderId="96" xfId="0" applyFont="1" applyFill="1" applyBorder="1" applyAlignment="1">
      <alignment horizontal="center" vertical="center"/>
    </xf>
    <xf numFmtId="0" fontId="13" fillId="0" borderId="7" xfId="0" applyFont="1" applyBorder="1" applyAlignment="1">
      <alignment horizontal="center" vertical="center"/>
    </xf>
    <xf numFmtId="0" fontId="13" fillId="0" borderId="85" xfId="0" applyFont="1" applyBorder="1" applyAlignment="1">
      <alignment horizontal="center" vertical="center" wrapText="1"/>
    </xf>
    <xf numFmtId="4" fontId="13" fillId="0" borderId="13" xfId="0" applyNumberFormat="1" applyFont="1" applyBorder="1" applyAlignment="1"/>
    <xf numFmtId="0" fontId="46" fillId="0" borderId="80" xfId="0" applyFont="1" applyBorder="1" applyAlignment="1">
      <alignment horizontal="center" vertical="center"/>
    </xf>
    <xf numFmtId="0" fontId="15" fillId="0" borderId="81" xfId="0" applyFont="1" applyBorder="1" applyAlignment="1">
      <alignment horizontal="center" vertical="center"/>
    </xf>
    <xf numFmtId="0" fontId="14" fillId="0" borderId="80" xfId="0" applyFont="1" applyBorder="1" applyAlignment="1">
      <alignment horizontal="center" vertical="center"/>
    </xf>
    <xf numFmtId="0" fontId="13" fillId="0" borderId="81" xfId="0" applyFont="1" applyBorder="1" applyAlignment="1">
      <alignment horizontal="center" vertical="center"/>
    </xf>
    <xf numFmtId="0" fontId="23" fillId="0" borderId="3" xfId="0" quotePrefix="1" applyFont="1" applyBorder="1" applyAlignment="1"/>
    <xf numFmtId="0" fontId="23" fillId="0" borderId="3" xfId="0" applyFont="1" applyBorder="1" applyAlignment="1"/>
    <xf numFmtId="0" fontId="13" fillId="0" borderId="0" xfId="0" applyFont="1" applyAlignment="1" applyProtection="1">
      <protection hidden="1"/>
    </xf>
    <xf numFmtId="0" fontId="13" fillId="2" borderId="0" xfId="0" applyFont="1" applyFill="1" applyAlignment="1" applyProtection="1">
      <protection locked="0"/>
    </xf>
    <xf numFmtId="164" fontId="13" fillId="2" borderId="0" xfId="0" quotePrefix="1" applyNumberFormat="1" applyFont="1" applyFill="1" applyAlignment="1" applyProtection="1">
      <alignment horizontal="center"/>
      <protection locked="0"/>
    </xf>
    <xf numFmtId="0" fontId="13" fillId="2" borderId="0" xfId="0" applyFont="1" applyFill="1" applyAlignment="1" applyProtection="1">
      <alignment horizontal="center"/>
      <protection locked="0"/>
    </xf>
    <xf numFmtId="0" fontId="22" fillId="0" borderId="91" xfId="0" applyFont="1" applyBorder="1" applyAlignment="1" applyProtection="1">
      <alignment horizontal="center" vertical="center"/>
      <protection hidden="1"/>
    </xf>
    <xf numFmtId="0" fontId="13" fillId="0" borderId="87" xfId="0" applyFont="1" applyBorder="1" applyAlignment="1" applyProtection="1">
      <alignment horizontal="center" vertical="center"/>
      <protection hidden="1"/>
    </xf>
    <xf numFmtId="0" fontId="13" fillId="0" borderId="92" xfId="0" applyFont="1" applyBorder="1" applyAlignment="1" applyProtection="1">
      <alignment horizontal="center" vertical="center"/>
      <protection hidden="1"/>
    </xf>
    <xf numFmtId="0" fontId="13" fillId="0" borderId="89" xfId="0" applyFont="1" applyBorder="1" applyAlignment="1" applyProtection="1">
      <alignment horizontal="center" vertical="center"/>
      <protection hidden="1"/>
    </xf>
    <xf numFmtId="0" fontId="14" fillId="4" borderId="54" xfId="0" applyFont="1" applyFill="1" applyBorder="1" applyAlignment="1" applyProtection="1">
      <alignment horizontal="center"/>
      <protection locked="0"/>
    </xf>
    <xf numFmtId="0" fontId="14" fillId="4" borderId="55" xfId="0" applyFont="1" applyFill="1" applyBorder="1" applyAlignment="1" applyProtection="1">
      <alignment horizontal="center"/>
      <protection locked="0"/>
    </xf>
    <xf numFmtId="0" fontId="14" fillId="0" borderId="58" xfId="0" applyFont="1" applyFill="1" applyBorder="1" applyAlignment="1" applyProtection="1">
      <alignment horizontal="center"/>
      <protection hidden="1"/>
    </xf>
    <xf numFmtId="0" fontId="14" fillId="0" borderId="3" xfId="0" applyFont="1" applyBorder="1" applyAlignment="1" applyProtection="1">
      <alignment horizontal="center"/>
      <protection hidden="1"/>
    </xf>
    <xf numFmtId="0" fontId="14" fillId="0" borderId="59" xfId="0" applyFont="1" applyBorder="1" applyAlignment="1" applyProtection="1">
      <alignment horizontal="center"/>
      <protection hidden="1"/>
    </xf>
    <xf numFmtId="4" fontId="23" fillId="0" borderId="37" xfId="0" applyNumberFormat="1" applyFont="1" applyBorder="1" applyAlignment="1" applyProtection="1">
      <protection hidden="1"/>
    </xf>
    <xf numFmtId="4" fontId="23" fillId="0" borderId="26" xfId="0" applyNumberFormat="1" applyFont="1" applyBorder="1" applyAlignment="1" applyProtection="1">
      <protection hidden="1"/>
    </xf>
    <xf numFmtId="0" fontId="22" fillId="0" borderId="58" xfId="0" applyFont="1" applyBorder="1" applyAlignment="1" applyProtection="1">
      <alignment horizontal="center"/>
      <protection hidden="1"/>
    </xf>
    <xf numFmtId="0" fontId="22" fillId="0" borderId="3" xfId="0" applyFont="1" applyBorder="1" applyAlignment="1" applyProtection="1">
      <alignment horizontal="center"/>
      <protection hidden="1"/>
    </xf>
    <xf numFmtId="0" fontId="22" fillId="0" borderId="59" xfId="0" applyFont="1" applyBorder="1" applyAlignment="1" applyProtection="1">
      <alignment horizontal="center"/>
      <protection hidden="1"/>
    </xf>
    <xf numFmtId="0" fontId="18" fillId="0" borderId="65" xfId="0" applyFont="1" applyBorder="1" applyAlignment="1" applyProtection="1">
      <protection hidden="1"/>
    </xf>
    <xf numFmtId="0" fontId="25" fillId="0" borderId="87" xfId="0" applyFont="1" applyBorder="1" applyAlignment="1" applyProtection="1">
      <alignment horizontal="center" vertical="center"/>
      <protection hidden="1"/>
    </xf>
    <xf numFmtId="0" fontId="0" fillId="0" borderId="88" xfId="0" applyBorder="1" applyAlignment="1" applyProtection="1">
      <protection hidden="1"/>
    </xf>
    <xf numFmtId="0" fontId="26" fillId="0" borderId="89" xfId="0" applyFont="1" applyBorder="1" applyAlignment="1" applyProtection="1">
      <alignment horizontal="center" vertical="center"/>
      <protection hidden="1"/>
    </xf>
    <xf numFmtId="0" fontId="0" fillId="0" borderId="90" xfId="0" applyBorder="1" applyAlignment="1" applyProtection="1">
      <protection hidden="1"/>
    </xf>
    <xf numFmtId="0" fontId="18" fillId="0" borderId="114" xfId="0" applyFont="1" applyBorder="1" applyAlignment="1" applyProtection="1">
      <protection hidden="1"/>
    </xf>
    <xf numFmtId="0" fontId="0" fillId="0" borderId="115" xfId="0" applyBorder="1" applyAlignment="1" applyProtection="1">
      <protection hidden="1"/>
    </xf>
    <xf numFmtId="0" fontId="18" fillId="0" borderId="78" xfId="0" applyFont="1" applyBorder="1" applyAlignment="1" applyProtection="1">
      <protection hidden="1"/>
    </xf>
    <xf numFmtId="0" fontId="0" fillId="0" borderId="42" xfId="0" applyBorder="1" applyAlignment="1" applyProtection="1">
      <protection hidden="1"/>
    </xf>
    <xf numFmtId="0" fontId="14" fillId="0" borderId="0" xfId="0" applyFont="1" applyAlignment="1" applyProtection="1">
      <protection hidden="1"/>
    </xf>
    <xf numFmtId="0" fontId="2" fillId="0" borderId="0" xfId="0" applyFont="1" applyAlignment="1" applyProtection="1">
      <protection hidden="1"/>
    </xf>
    <xf numFmtId="0" fontId="0" fillId="0" borderId="0" xfId="0" applyAlignment="1" applyProtection="1">
      <protection hidden="1"/>
    </xf>
    <xf numFmtId="0" fontId="23" fillId="0" borderId="0" xfId="0" applyFont="1" applyAlignment="1" applyProtection="1">
      <protection hidden="1"/>
    </xf>
    <xf numFmtId="167" fontId="32" fillId="0" borderId="4" xfId="2" applyNumberFormat="1" applyFont="1" applyBorder="1" applyAlignment="1" applyProtection="1">
      <alignment horizontal="center"/>
      <protection hidden="1"/>
    </xf>
    <xf numFmtId="0" fontId="0" fillId="0" borderId="4" xfId="0" applyBorder="1" applyAlignment="1" applyProtection="1">
      <alignment horizontal="center"/>
      <protection hidden="1"/>
    </xf>
    <xf numFmtId="49" fontId="5" fillId="0" borderId="0" xfId="0" applyNumberFormat="1" applyFont="1" applyAlignment="1"/>
    <xf numFmtId="49" fontId="0" fillId="0" borderId="0" xfId="0" applyNumberFormat="1" applyAlignment="1"/>
    <xf numFmtId="0" fontId="2" fillId="0" borderId="0" xfId="0" applyFont="1" applyAlignment="1"/>
    <xf numFmtId="0" fontId="1" fillId="2" borderId="0" xfId="0" applyFont="1" applyFill="1" applyAlignment="1">
      <alignment horizontal="left"/>
    </xf>
    <xf numFmtId="0" fontId="1" fillId="0" borderId="0" xfId="0" applyFont="1" applyAlignment="1">
      <alignment horizontal="left"/>
    </xf>
    <xf numFmtId="0" fontId="5" fillId="0" borderId="0" xfId="0" applyFont="1" applyAlignment="1"/>
    <xf numFmtId="0" fontId="5" fillId="0" borderId="0" xfId="0" applyNumberFormat="1" applyFont="1" applyAlignment="1">
      <alignment horizontal="left"/>
    </xf>
    <xf numFmtId="0" fontId="0" fillId="0" borderId="0" xfId="0" applyNumberFormat="1" applyAlignment="1">
      <alignment horizontal="left"/>
    </xf>
    <xf numFmtId="0" fontId="5" fillId="0" borderId="0" xfId="0" applyFont="1" applyAlignment="1">
      <alignment wrapText="1"/>
    </xf>
  </cellXfs>
  <cellStyles count="69">
    <cellStyle name="İzlenen Köprü" xfId="3" builtinId="9" hidden="1"/>
    <cellStyle name="İzlenen Köprü" xfId="4" builtinId="9" hidden="1"/>
    <cellStyle name="İzlenen Köprü" xfId="5" builtinId="9" hidden="1"/>
    <cellStyle name="İzlenen Köprü" xfId="6" builtinId="9" hidden="1"/>
    <cellStyle name="İzlenen Köprü" xfId="7" builtinId="9" hidden="1"/>
    <cellStyle name="İzlenen Köprü" xfId="8" builtinId="9" hidden="1"/>
    <cellStyle name="İzlenen Köprü" xfId="9" builtinId="9" hidden="1"/>
    <cellStyle name="İzlenen Köprü" xfId="10" builtinId="9" hidden="1"/>
    <cellStyle name="İzlenen Köprü" xfId="11" builtinId="9" hidden="1"/>
    <cellStyle name="İzlenen Köprü" xfId="12" builtinId="9" hidden="1"/>
    <cellStyle name="İzlenen Köprü" xfId="13" builtinId="9" hidden="1"/>
    <cellStyle name="İzlenen Köprü" xfId="15" builtinId="9" hidden="1"/>
    <cellStyle name="İzlenen Köprü" xfId="16" builtinId="9" hidden="1"/>
    <cellStyle name="İzlenen Köprü" xfId="17" builtinId="9" hidden="1"/>
    <cellStyle name="İzlenen Köprü" xfId="18" builtinId="9" hidden="1"/>
    <cellStyle name="İzlenen Köprü" xfId="19" builtinId="9" hidden="1"/>
    <cellStyle name="İzlenen Köprü" xfId="20" builtinId="9" hidden="1"/>
    <cellStyle name="İzlenen Köprü" xfId="21" builtinId="9" hidden="1"/>
    <cellStyle name="İzlenen Köprü" xfId="22" builtinId="9" hidden="1"/>
    <cellStyle name="İzlenen Köprü" xfId="23" builtinId="9" hidden="1"/>
    <cellStyle name="İzlenen Köprü" xfId="24" builtinId="9" hidden="1"/>
    <cellStyle name="İzlenen Köprü" xfId="25" builtinId="9" hidden="1"/>
    <cellStyle name="İzlenen Köprü" xfId="26" builtinId="9" hidden="1"/>
    <cellStyle name="İzlenen Köprü" xfId="27" builtinId="9" hidden="1"/>
    <cellStyle name="İzlenen Köprü" xfId="28" builtinId="9" hidden="1"/>
    <cellStyle name="İzlenen Köprü" xfId="29" builtinId="9" hidden="1"/>
    <cellStyle name="İzlenen Köprü" xfId="30" builtinId="9" hidden="1"/>
    <cellStyle name="İzlenen Köprü" xfId="31" builtinId="9" hidden="1"/>
    <cellStyle name="İzlenen Köprü" xfId="32" builtinId="9" hidden="1"/>
    <cellStyle name="İzlenen Köprü" xfId="33" builtinId="9" hidden="1"/>
    <cellStyle name="İzlenen Köprü" xfId="34" builtinId="9" hidden="1"/>
    <cellStyle name="İzlenen Köprü" xfId="35" builtinId="9" hidden="1"/>
    <cellStyle name="İzlenen Köprü" xfId="36" builtinId="9" hidden="1"/>
    <cellStyle name="İzlenen Köprü" xfId="37" builtinId="9" hidden="1"/>
    <cellStyle name="İzlenen Köprü" xfId="38" builtinId="9" hidden="1"/>
    <cellStyle name="İzlenen Köprü" xfId="39" builtinId="9" hidden="1"/>
    <cellStyle name="İzlenen Köprü" xfId="40" builtinId="9" hidden="1"/>
    <cellStyle name="İzlenen Köprü" xfId="41" builtinId="9" hidden="1"/>
    <cellStyle name="İzlenen Köprü" xfId="42" builtinId="9" hidden="1"/>
    <cellStyle name="İzlenen Köprü" xfId="43" builtinId="9" hidden="1"/>
    <cellStyle name="İzlenen Köprü" xfId="44" builtinId="9" hidden="1"/>
    <cellStyle name="İzlenen Köprü" xfId="45" builtinId="9" hidden="1"/>
    <cellStyle name="İzlenen Köprü" xfId="46" builtinId="9" hidden="1"/>
    <cellStyle name="İzlenen Köprü" xfId="47" builtinId="9" hidden="1"/>
    <cellStyle name="İzlenen Köprü" xfId="48" builtinId="9" hidden="1"/>
    <cellStyle name="İzlenen Köprü" xfId="49" builtinId="9" hidden="1"/>
    <cellStyle name="İzlenen Köprü" xfId="50" builtinId="9" hidden="1"/>
    <cellStyle name="İzlenen Köprü" xfId="51" builtinId="9" hidden="1"/>
    <cellStyle name="İzlenen Köprü" xfId="52" builtinId="9" hidden="1"/>
    <cellStyle name="İzlenen Köprü" xfId="53" builtinId="9" hidden="1"/>
    <cellStyle name="İzlenen Köprü" xfId="54" builtinId="9" hidden="1"/>
    <cellStyle name="İzlenen Köprü" xfId="55" builtinId="9" hidden="1"/>
    <cellStyle name="İzlenen Köprü" xfId="56" builtinId="9" hidden="1"/>
    <cellStyle name="İzlenen Köprü" xfId="57" builtinId="9" hidden="1"/>
    <cellStyle name="İzlenen Köprü" xfId="58" builtinId="9" hidden="1"/>
    <cellStyle name="İzlenen Köprü" xfId="59" builtinId="9" hidden="1"/>
    <cellStyle name="İzlenen Köprü" xfId="60" builtinId="9" hidden="1"/>
    <cellStyle name="İzlenen Köprü" xfId="61" builtinId="9" hidden="1"/>
    <cellStyle name="İzlenen Köprü" xfId="62" builtinId="9" hidden="1"/>
    <cellStyle name="İzlenen Köprü" xfId="63" builtinId="9" hidden="1"/>
    <cellStyle name="İzlenen Köprü" xfId="64" builtinId="9" hidden="1"/>
    <cellStyle name="İzlenen Köprü" xfId="65" builtinId="9" hidden="1"/>
    <cellStyle name="İzlenen Köprü" xfId="66" builtinId="9" hidden="1"/>
    <cellStyle name="İzlenen Köprü" xfId="67" builtinId="9" hidden="1"/>
    <cellStyle name="İzlenen Köprü" xfId="68" builtinId="9" hidden="1"/>
    <cellStyle name="Köprü" xfId="1" builtinId="8"/>
    <cellStyle name="Normal" xfId="0" builtinId="0"/>
    <cellStyle name="Normale_ITP" xfId="2" xr:uid="{00000000-0005-0000-0000-000044000000}"/>
    <cellStyle name="Nötr" xfId="14" builtinId="28"/>
  </cellStyles>
  <dxfs count="11">
    <dxf>
      <font>
        <condense val="0"/>
        <extend val="0"/>
        <color indexed="9"/>
      </font>
    </dxf>
    <dxf>
      <font>
        <color theme="0"/>
      </font>
      <fill>
        <patternFill patternType="none">
          <fgColor indexed="64"/>
          <bgColor auto="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lor theme="0"/>
      </font>
      <fill>
        <patternFill patternType="none">
          <fgColor indexed="64"/>
          <bgColor auto="1"/>
        </patternFill>
      </fill>
    </dxf>
    <dxf>
      <font>
        <color theme="0"/>
      </font>
      <fill>
        <patternFill patternType="solid">
          <fgColor indexed="64"/>
          <bgColor rgb="FFFF0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  <dxf>
      <font>
        <b/>
        <i val="0"/>
        <color auto="1"/>
      </font>
      <fill>
        <patternFill patternType="solid">
          <fgColor indexed="64"/>
          <bgColor rgb="FFFF0000"/>
        </patternFill>
      </fill>
    </dxf>
    <dxf>
      <font>
        <b/>
        <i val="0"/>
        <color theme="0"/>
      </font>
      <fill>
        <patternFill patternType="solid">
          <fgColor indexed="64"/>
          <bgColor rgb="FFFF0000"/>
        </patternFill>
      </fill>
    </dxf>
    <dxf>
      <font>
        <condense val="0"/>
        <extend val="0"/>
        <color indexed="9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63500</xdr:rowOff>
    </xdr:from>
    <xdr:to>
      <xdr:col>1</xdr:col>
      <xdr:colOff>0</xdr:colOff>
      <xdr:row>5</xdr:row>
      <xdr:rowOff>508000</xdr:rowOff>
    </xdr:to>
    <xdr:pic>
      <xdr:nvPicPr>
        <xdr:cNvPr id="10566" name="Picture 9" descr="Inerzie Cilindro Pieno">
          <a:extLst>
            <a:ext uri="{FF2B5EF4-FFF2-40B4-BE49-F238E27FC236}">
              <a16:creationId xmlns:a16="http://schemas.microsoft.com/office/drawing/2014/main" id="{00000000-0008-0000-0100-000046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800100"/>
          <a:ext cx="3111500" cy="1016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63500</xdr:colOff>
      <xdr:row>6</xdr:row>
      <xdr:rowOff>38100</xdr:rowOff>
    </xdr:from>
    <xdr:to>
      <xdr:col>1</xdr:col>
      <xdr:colOff>0</xdr:colOff>
      <xdr:row>7</xdr:row>
      <xdr:rowOff>469900</xdr:rowOff>
    </xdr:to>
    <xdr:pic>
      <xdr:nvPicPr>
        <xdr:cNvPr id="10567" name="Picture 10" descr="Inerzie Cilindro cavo">
          <a:extLst>
            <a:ext uri="{FF2B5EF4-FFF2-40B4-BE49-F238E27FC236}">
              <a16:creationId xmlns:a16="http://schemas.microsoft.com/office/drawing/2014/main" id="{00000000-0008-0000-0100-000047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500" y="1917700"/>
          <a:ext cx="3035300" cy="1003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8</xdr:row>
      <xdr:rowOff>50800</xdr:rowOff>
    </xdr:from>
    <xdr:to>
      <xdr:col>1</xdr:col>
      <xdr:colOff>0</xdr:colOff>
      <xdr:row>9</xdr:row>
      <xdr:rowOff>508000</xdr:rowOff>
    </xdr:to>
    <xdr:pic>
      <xdr:nvPicPr>
        <xdr:cNvPr id="10568" name="Picture 11" descr="Inerzie Parallelepipedo pieno">
          <a:extLst>
            <a:ext uri="{FF2B5EF4-FFF2-40B4-BE49-F238E27FC236}">
              <a16:creationId xmlns:a16="http://schemas.microsoft.com/office/drawing/2014/main" id="{00000000-0008-0000-0100-000048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073400"/>
          <a:ext cx="30607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50800</xdr:colOff>
      <xdr:row>10</xdr:row>
      <xdr:rowOff>38100</xdr:rowOff>
    </xdr:from>
    <xdr:to>
      <xdr:col>1</xdr:col>
      <xdr:colOff>0</xdr:colOff>
      <xdr:row>11</xdr:row>
      <xdr:rowOff>495300</xdr:rowOff>
    </xdr:to>
    <xdr:pic>
      <xdr:nvPicPr>
        <xdr:cNvPr id="10569" name="Picture 12" descr="Inerzie Parallelepipedo cavo">
          <a:extLst>
            <a:ext uri="{FF2B5EF4-FFF2-40B4-BE49-F238E27FC236}">
              <a16:creationId xmlns:a16="http://schemas.microsoft.com/office/drawing/2014/main" id="{00000000-0008-0000-0100-0000492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800" y="4203700"/>
          <a:ext cx="30607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177800</xdr:colOff>
      <xdr:row>0</xdr:row>
      <xdr:rowOff>38100</xdr:rowOff>
    </xdr:from>
    <xdr:to>
      <xdr:col>10</xdr:col>
      <xdr:colOff>609600</xdr:colOff>
      <xdr:row>3</xdr:row>
      <xdr:rowOff>155406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5F237E66-7525-3440-A29A-3A9B9BADF5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78500" y="38100"/>
          <a:ext cx="2209800" cy="739606"/>
        </a:xfrm>
        <a:prstGeom prst="rect">
          <a:avLst/>
        </a:prstGeom>
      </xdr:spPr>
    </xdr:pic>
    <xdr:clientData/>
  </xdr:twoCellAnchor>
  <xdr:twoCellAnchor editAs="oneCell">
    <xdr:from>
      <xdr:col>1</xdr:col>
      <xdr:colOff>1117600</xdr:colOff>
      <xdr:row>9</xdr:row>
      <xdr:rowOff>50801</xdr:rowOff>
    </xdr:from>
    <xdr:to>
      <xdr:col>8</xdr:col>
      <xdr:colOff>410634</xdr:colOff>
      <xdr:row>33</xdr:row>
      <xdr:rowOff>132015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635E92A3-E75C-8A46-8614-C46DF45D77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1966" t="14248" r="16581" b="5547"/>
        <a:stretch/>
      </xdr:blipFill>
      <xdr:spPr>
        <a:xfrm>
          <a:off x="1384300" y="1663701"/>
          <a:ext cx="5168900" cy="40436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101600</xdr:colOff>
      <xdr:row>0</xdr:row>
      <xdr:rowOff>38100</xdr:rowOff>
    </xdr:from>
    <xdr:to>
      <xdr:col>16</xdr:col>
      <xdr:colOff>647700</xdr:colOff>
      <xdr:row>5</xdr:row>
      <xdr:rowOff>0</xdr:rowOff>
    </xdr:to>
    <xdr:pic>
      <xdr:nvPicPr>
        <xdr:cNvPr id="9337" name="Picture 1" descr="logoCDS">
          <a:extLst>
            <a:ext uri="{FF2B5EF4-FFF2-40B4-BE49-F238E27FC236}">
              <a16:creationId xmlns:a16="http://schemas.microsoft.com/office/drawing/2014/main" id="{00000000-0008-0000-0400-000079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8100"/>
          <a:ext cx="297180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91440" tIns="45720" rIns="91440" bIns="4572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a:spPr>
      <a:bodyPr vertOverflow="clip" wrap="square" lIns="91440" tIns="45720" rIns="91440" bIns="45720" upright="1"/>
      <a:lstStyle/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J72"/>
  <sheetViews>
    <sheetView topLeftCell="A17" workbookViewId="0">
      <selection activeCell="B52" sqref="B52"/>
    </sheetView>
  </sheetViews>
  <sheetFormatPr defaultColWidth="8.6328125" defaultRowHeight="13.5"/>
  <cols>
    <col min="1" max="1" width="9.81640625" style="25" bestFit="1" customWidth="1"/>
    <col min="2" max="2" width="19.453125" style="25" bestFit="1" customWidth="1"/>
    <col min="3" max="16384" width="8.6328125" style="25"/>
  </cols>
  <sheetData>
    <row r="2" spans="2:10">
      <c r="B2" s="346" t="str">
        <f>CHOOSE($B$28,B29,B34,B39,B44,B49,B54,B59,B64,B69)</f>
        <v xml:space="preserve">CDS Cam Driven Systems </v>
      </c>
      <c r="C2" s="346"/>
      <c r="D2" s="346"/>
      <c r="E2" s="346"/>
      <c r="F2" s="346"/>
      <c r="G2" s="346"/>
      <c r="H2" s="346"/>
      <c r="I2" s="347"/>
      <c r="J2" s="347"/>
    </row>
    <row r="3" spans="2:10">
      <c r="B3" s="346" t="str">
        <f t="shared" ref="B3:B5" si="0">CHOOSE($B$28,B30,B35,B40,B45,B50,B55,B60,B65,B70)</f>
        <v>Division of Bettinelli F.lli S.p.A.</v>
      </c>
      <c r="C3" s="346"/>
      <c r="D3" s="346"/>
      <c r="E3" s="346"/>
      <c r="F3" s="346"/>
      <c r="G3" s="346"/>
      <c r="H3" s="346"/>
      <c r="I3" s="347"/>
      <c r="J3" s="347"/>
    </row>
    <row r="4" spans="2:10">
      <c r="B4" s="346" t="str">
        <f t="shared" si="0"/>
        <v>Via Leonardo da Vinci, 56    26010 BAGNOLO CREMASCO (CR)</v>
      </c>
      <c r="C4" s="346"/>
      <c r="D4" s="346"/>
      <c r="E4" s="346"/>
      <c r="F4" s="346"/>
      <c r="G4" s="346"/>
      <c r="H4" s="346"/>
      <c r="I4" s="347"/>
      <c r="J4" s="347"/>
    </row>
    <row r="5" spans="2:10">
      <c r="B5" s="346" t="str">
        <f t="shared" si="0"/>
        <v>Tel. +39 0373 237311    Fax. +39 0373 237538     e-mail: cds@bettinelli.it   www.cdsindexers.com</v>
      </c>
      <c r="C5" s="346"/>
      <c r="D5" s="346"/>
      <c r="E5" s="346"/>
      <c r="F5" s="346"/>
      <c r="G5" s="346"/>
      <c r="H5" s="346"/>
      <c r="I5" s="347"/>
      <c r="J5" s="347"/>
    </row>
    <row r="6" spans="2:10">
      <c r="D6" s="345"/>
      <c r="E6" s="345"/>
      <c r="F6" s="345"/>
      <c r="G6" s="345"/>
      <c r="H6" s="345"/>
      <c r="I6" s="345"/>
    </row>
    <row r="7" spans="2:10">
      <c r="E7" s="345"/>
      <c r="F7" s="345"/>
      <c r="G7" s="345"/>
      <c r="H7" s="345"/>
      <c r="I7" s="345"/>
    </row>
    <row r="9" spans="2:10" ht="14" thickBot="1"/>
    <row r="10" spans="2:10" ht="14" thickBot="1">
      <c r="B10" s="27" t="s">
        <v>10</v>
      </c>
      <c r="C10" s="355"/>
      <c r="D10" s="356"/>
      <c r="E10" s="356"/>
      <c r="F10" s="356"/>
      <c r="G10" s="356"/>
      <c r="H10" s="357"/>
    </row>
    <row r="11" spans="2:10">
      <c r="B11" s="27" t="s">
        <v>11</v>
      </c>
      <c r="C11" s="358"/>
      <c r="D11" s="359"/>
      <c r="E11" s="359"/>
      <c r="F11" s="359"/>
      <c r="G11" s="359"/>
      <c r="H11" s="360"/>
    </row>
    <row r="12" spans="2:10">
      <c r="B12" s="27"/>
      <c r="C12" s="361"/>
      <c r="D12" s="362"/>
      <c r="E12" s="362"/>
      <c r="F12" s="362"/>
      <c r="G12" s="362"/>
      <c r="H12" s="363"/>
    </row>
    <row r="13" spans="2:10" ht="14" thickBot="1">
      <c r="B13" s="27"/>
      <c r="C13" s="364"/>
      <c r="D13" s="365"/>
      <c r="E13" s="365"/>
      <c r="F13" s="365"/>
      <c r="G13" s="365"/>
      <c r="H13" s="366"/>
    </row>
    <row r="14" spans="2:10" ht="14" thickBot="1">
      <c r="B14" s="27" t="s">
        <v>13</v>
      </c>
      <c r="C14" s="348"/>
      <c r="D14" s="350"/>
    </row>
    <row r="15" spans="2:10" ht="14" thickBot="1">
      <c r="B15" s="27" t="s">
        <v>12</v>
      </c>
      <c r="C15" s="367"/>
      <c r="D15" s="368"/>
      <c r="E15" s="368"/>
      <c r="F15" s="368"/>
      <c r="G15" s="368"/>
      <c r="H15" s="369"/>
    </row>
    <row r="16" spans="2:10" ht="14" thickBot="1">
      <c r="B16" s="27" t="s">
        <v>14</v>
      </c>
      <c r="C16" s="351"/>
      <c r="D16" s="352"/>
      <c r="E16" s="352"/>
      <c r="F16" s="352"/>
      <c r="G16" s="352"/>
      <c r="H16" s="353"/>
    </row>
    <row r="17" spans="1:8" ht="14" thickBot="1">
      <c r="B17" s="27" t="s">
        <v>15</v>
      </c>
      <c r="C17" s="348"/>
      <c r="D17" s="349"/>
      <c r="E17" s="349"/>
      <c r="F17" s="349"/>
      <c r="G17" s="349"/>
      <c r="H17" s="350"/>
    </row>
    <row r="18" spans="1:8" ht="14" thickBot="1">
      <c r="B18" s="27" t="s">
        <v>16</v>
      </c>
      <c r="C18" s="348"/>
      <c r="D18" s="349"/>
      <c r="E18" s="349"/>
      <c r="F18" s="349"/>
      <c r="G18" s="349"/>
      <c r="H18" s="350"/>
    </row>
    <row r="19" spans="1:8" ht="14" thickBot="1">
      <c r="B19" s="27"/>
    </row>
    <row r="20" spans="1:8" ht="14" thickBot="1">
      <c r="A20" s="27" t="s">
        <v>371</v>
      </c>
      <c r="B20" s="27" t="s">
        <v>25</v>
      </c>
      <c r="C20" s="117"/>
    </row>
    <row r="21" spans="1:8" ht="14" thickBot="1">
      <c r="B21" s="27" t="s">
        <v>17</v>
      </c>
      <c r="C21" s="351"/>
      <c r="D21" s="352"/>
      <c r="E21" s="352"/>
      <c r="F21" s="352"/>
      <c r="G21" s="352"/>
      <c r="H21" s="353"/>
    </row>
    <row r="22" spans="1:8" ht="14" thickBot="1">
      <c r="B22" s="27" t="s">
        <v>18</v>
      </c>
      <c r="C22" s="351"/>
      <c r="D22" s="352"/>
      <c r="E22" s="352"/>
      <c r="F22" s="352"/>
      <c r="G22" s="352"/>
      <c r="H22" s="353"/>
    </row>
    <row r="23" spans="1:8" ht="14" thickBot="1">
      <c r="B23" s="27" t="s">
        <v>15</v>
      </c>
      <c r="C23" s="348"/>
      <c r="D23" s="349"/>
      <c r="E23" s="349"/>
      <c r="F23" s="349"/>
      <c r="G23" s="349"/>
      <c r="H23" s="350"/>
    </row>
    <row r="24" spans="1:8" ht="14" thickBot="1">
      <c r="B24" s="27" t="s">
        <v>16</v>
      </c>
      <c r="C24" s="348"/>
      <c r="D24" s="349"/>
      <c r="E24" s="349"/>
      <c r="F24" s="349"/>
      <c r="G24" s="349"/>
      <c r="H24" s="350"/>
    </row>
    <row r="25" spans="1:8" ht="14" thickBot="1">
      <c r="B25" s="27" t="s">
        <v>19</v>
      </c>
      <c r="C25" s="351"/>
      <c r="D25" s="352"/>
      <c r="E25" s="352"/>
      <c r="F25" s="352"/>
      <c r="G25" s="352"/>
      <c r="H25" s="353"/>
    </row>
    <row r="26" spans="1:8" ht="14" thickBot="1">
      <c r="B26" s="27" t="s">
        <v>20</v>
      </c>
      <c r="C26" s="354"/>
      <c r="D26" s="352"/>
      <c r="E26" s="352"/>
      <c r="F26" s="352"/>
      <c r="G26" s="352"/>
      <c r="H26" s="353"/>
    </row>
    <row r="28" spans="1:8">
      <c r="A28" s="118" t="s">
        <v>479</v>
      </c>
      <c r="B28" s="26">
        <f>VALUE(LEFT(A28,1))</f>
        <v>1</v>
      </c>
    </row>
    <row r="29" spans="1:8">
      <c r="A29" s="27" t="s">
        <v>68</v>
      </c>
      <c r="B29" s="344" t="s">
        <v>70</v>
      </c>
      <c r="C29" s="345"/>
      <c r="D29" s="345"/>
      <c r="E29" s="345"/>
      <c r="F29" s="345"/>
      <c r="G29" s="345"/>
      <c r="H29" s="345"/>
    </row>
    <row r="30" spans="1:8">
      <c r="A30" s="27"/>
      <c r="B30" s="87" t="s">
        <v>21</v>
      </c>
      <c r="C30" s="42"/>
      <c r="D30" s="42"/>
      <c r="E30" s="42"/>
      <c r="F30" s="42"/>
      <c r="G30" s="42"/>
      <c r="H30" s="42"/>
    </row>
    <row r="31" spans="1:8">
      <c r="B31" s="345" t="s">
        <v>488</v>
      </c>
      <c r="C31" s="345"/>
      <c r="D31" s="345"/>
      <c r="E31" s="345"/>
      <c r="F31" s="345"/>
      <c r="G31" s="345"/>
      <c r="H31" s="345"/>
    </row>
    <row r="32" spans="1:8">
      <c r="B32" s="345" t="s">
        <v>485</v>
      </c>
      <c r="C32" s="345"/>
      <c r="D32" s="345"/>
      <c r="E32" s="345"/>
      <c r="F32" s="345"/>
      <c r="G32" s="345"/>
      <c r="H32" s="345"/>
    </row>
    <row r="34" spans="1:9">
      <c r="A34" s="27" t="s">
        <v>22</v>
      </c>
      <c r="B34" s="346" t="s">
        <v>449</v>
      </c>
      <c r="C34" s="345"/>
      <c r="D34" s="345"/>
      <c r="E34" s="345"/>
      <c r="F34" s="345"/>
      <c r="G34" s="345"/>
      <c r="H34" s="345"/>
      <c r="I34" s="345"/>
    </row>
    <row r="35" spans="1:9">
      <c r="B35" s="345" t="s">
        <v>310</v>
      </c>
      <c r="C35" s="345"/>
      <c r="D35" s="345"/>
      <c r="E35" s="345"/>
      <c r="F35" s="345"/>
      <c r="G35" s="345"/>
      <c r="H35" s="345"/>
      <c r="I35" s="345"/>
    </row>
    <row r="36" spans="1:9">
      <c r="B36" s="345" t="s">
        <v>71</v>
      </c>
      <c r="C36" s="345"/>
      <c r="D36" s="345"/>
      <c r="E36" s="345"/>
      <c r="F36" s="345"/>
      <c r="G36" s="345"/>
      <c r="H36" s="345"/>
      <c r="I36" s="345"/>
    </row>
    <row r="37" spans="1:9">
      <c r="B37" s="42" t="s">
        <v>489</v>
      </c>
      <c r="C37" s="42"/>
      <c r="D37" s="42"/>
      <c r="E37" s="42"/>
      <c r="F37" s="42"/>
      <c r="G37" s="42"/>
      <c r="H37" s="42"/>
      <c r="I37" s="42"/>
    </row>
    <row r="39" spans="1:9">
      <c r="A39" s="27" t="s">
        <v>69</v>
      </c>
      <c r="B39" s="27" t="s">
        <v>459</v>
      </c>
    </row>
    <row r="40" spans="1:9">
      <c r="B40" s="345" t="s">
        <v>311</v>
      </c>
      <c r="C40" s="345"/>
      <c r="D40" s="345"/>
      <c r="E40" s="345"/>
      <c r="F40" s="345"/>
      <c r="G40" s="345"/>
      <c r="H40" s="345"/>
      <c r="I40" s="345"/>
    </row>
    <row r="41" spans="1:9">
      <c r="B41" s="345" t="s">
        <v>72</v>
      </c>
      <c r="C41" s="345"/>
      <c r="D41" s="345"/>
      <c r="E41" s="345"/>
      <c r="F41" s="345"/>
      <c r="G41" s="345"/>
      <c r="H41" s="345"/>
      <c r="I41" s="345"/>
    </row>
    <row r="42" spans="1:9">
      <c r="B42" s="42" t="s">
        <v>460</v>
      </c>
      <c r="C42" s="42"/>
      <c r="D42" s="42"/>
      <c r="E42" s="42"/>
      <c r="F42" s="42"/>
      <c r="G42" s="42"/>
      <c r="H42" s="42"/>
      <c r="I42" s="42"/>
    </row>
    <row r="44" spans="1:9">
      <c r="A44" s="27" t="s">
        <v>23</v>
      </c>
      <c r="B44" s="346" t="s">
        <v>24</v>
      </c>
      <c r="C44" s="346"/>
      <c r="D44" s="346"/>
      <c r="E44" s="346"/>
      <c r="F44" s="346"/>
      <c r="G44" s="346"/>
      <c r="H44" s="346"/>
      <c r="I44" s="346"/>
    </row>
    <row r="45" spans="1:9">
      <c r="B45" s="345" t="s">
        <v>372</v>
      </c>
      <c r="C45" s="345"/>
      <c r="D45" s="345"/>
      <c r="E45" s="345"/>
      <c r="F45" s="345"/>
      <c r="G45" s="345"/>
      <c r="H45" s="345"/>
      <c r="I45" s="345"/>
    </row>
    <row r="46" spans="1:9">
      <c r="B46" s="345" t="s">
        <v>373</v>
      </c>
      <c r="C46" s="345"/>
      <c r="D46" s="345"/>
      <c r="E46" s="345"/>
      <c r="F46" s="345"/>
      <c r="G46" s="345"/>
      <c r="H46" s="345"/>
      <c r="I46" s="345"/>
    </row>
    <row r="47" spans="1:9">
      <c r="B47" s="345" t="s">
        <v>73</v>
      </c>
      <c r="C47" s="345"/>
      <c r="D47" s="345"/>
      <c r="E47" s="345"/>
      <c r="F47" s="345"/>
      <c r="G47" s="345"/>
      <c r="H47" s="345"/>
      <c r="I47" s="345"/>
    </row>
    <row r="49" spans="1:8">
      <c r="A49" s="27" t="s">
        <v>213</v>
      </c>
      <c r="B49" s="27" t="s">
        <v>456</v>
      </c>
    </row>
    <row r="50" spans="1:8">
      <c r="B50" s="25" t="s">
        <v>457</v>
      </c>
    </row>
    <row r="51" spans="1:8">
      <c r="B51" s="25" t="s">
        <v>458</v>
      </c>
    </row>
    <row r="52" spans="1:8">
      <c r="B52" s="25" t="s">
        <v>490</v>
      </c>
    </row>
    <row r="54" spans="1:8">
      <c r="A54" s="27" t="s">
        <v>461</v>
      </c>
      <c r="B54" s="27" t="s">
        <v>461</v>
      </c>
    </row>
    <row r="55" spans="1:8">
      <c r="B55" s="25" t="s">
        <v>461</v>
      </c>
    </row>
    <row r="56" spans="1:8">
      <c r="B56" s="25" t="s">
        <v>461</v>
      </c>
    </row>
    <row r="57" spans="1:8">
      <c r="B57" s="25" t="s">
        <v>461</v>
      </c>
    </row>
    <row r="59" spans="1:8">
      <c r="A59" s="27" t="s">
        <v>461</v>
      </c>
      <c r="B59" s="344" t="s">
        <v>461</v>
      </c>
      <c r="C59" s="345"/>
      <c r="D59" s="345"/>
      <c r="E59" s="345"/>
      <c r="F59" s="345"/>
      <c r="G59" s="345"/>
      <c r="H59" s="345"/>
    </row>
    <row r="60" spans="1:8">
      <c r="B60" s="87" t="s">
        <v>461</v>
      </c>
      <c r="C60" s="230"/>
      <c r="D60" s="230"/>
      <c r="E60" s="230"/>
      <c r="F60" s="230"/>
      <c r="G60" s="230"/>
      <c r="H60" s="230"/>
    </row>
    <row r="61" spans="1:8">
      <c r="B61" s="345" t="s">
        <v>461</v>
      </c>
      <c r="C61" s="345"/>
      <c r="D61" s="345"/>
      <c r="E61" s="345"/>
      <c r="F61" s="345"/>
      <c r="G61" s="345"/>
      <c r="H61" s="345"/>
    </row>
    <row r="62" spans="1:8">
      <c r="B62" s="345" t="s">
        <v>461</v>
      </c>
      <c r="C62" s="345"/>
      <c r="D62" s="345"/>
      <c r="E62" s="345"/>
      <c r="F62" s="345"/>
      <c r="G62" s="345"/>
      <c r="H62" s="345"/>
    </row>
    <row r="64" spans="1:8">
      <c r="A64" s="27" t="s">
        <v>461</v>
      </c>
      <c r="B64" s="27" t="s">
        <v>461</v>
      </c>
    </row>
    <row r="65" spans="1:2">
      <c r="B65" s="25" t="s">
        <v>461</v>
      </c>
    </row>
    <row r="66" spans="1:2">
      <c r="B66" s="25" t="s">
        <v>461</v>
      </c>
    </row>
    <row r="67" spans="1:2">
      <c r="B67" s="25" t="s">
        <v>461</v>
      </c>
    </row>
    <row r="69" spans="1:2">
      <c r="A69" s="27" t="s">
        <v>461</v>
      </c>
      <c r="B69" s="27" t="s">
        <v>461</v>
      </c>
    </row>
    <row r="70" spans="1:2">
      <c r="B70" s="25" t="s">
        <v>461</v>
      </c>
    </row>
    <row r="71" spans="1:2">
      <c r="B71" s="25" t="s">
        <v>461</v>
      </c>
    </row>
    <row r="72" spans="1:2">
      <c r="B72" s="25" t="s">
        <v>461</v>
      </c>
    </row>
  </sheetData>
  <sheetProtection algorithmName="SHA-512" hashValue="K9YngJV6dXUU5WPbfG6fUfumDODff37JLdLMO2Fmpjm2Vxm9DZpryp3aGkSkkAvtF/MGXW3dZbj20PdKdVEuSw==" saltValue="nQCikZLX1QZI3UATrvJVBw==" spinCount="100000" sheet="1" objects="1" scenarios="1" formatColumns="0"/>
  <dataConsolidate/>
  <mergeCells count="34">
    <mergeCell ref="C23:H23"/>
    <mergeCell ref="C16:H16"/>
    <mergeCell ref="C10:H10"/>
    <mergeCell ref="C11:H13"/>
    <mergeCell ref="C15:H15"/>
    <mergeCell ref="C14:D14"/>
    <mergeCell ref="D6:I6"/>
    <mergeCell ref="E7:I7"/>
    <mergeCell ref="C17:H17"/>
    <mergeCell ref="C18:H18"/>
    <mergeCell ref="C22:H22"/>
    <mergeCell ref="C21:H21"/>
    <mergeCell ref="B36:I36"/>
    <mergeCell ref="B34:I34"/>
    <mergeCell ref="B40:I40"/>
    <mergeCell ref="B29:H29"/>
    <mergeCell ref="B32:H32"/>
    <mergeCell ref="B31:H31"/>
    <mergeCell ref="B59:H59"/>
    <mergeCell ref="B61:H61"/>
    <mergeCell ref="B62:H62"/>
    <mergeCell ref="B5:J5"/>
    <mergeCell ref="B2:J2"/>
    <mergeCell ref="B3:J3"/>
    <mergeCell ref="B4:J4"/>
    <mergeCell ref="C24:H24"/>
    <mergeCell ref="C25:H25"/>
    <mergeCell ref="C26:H26"/>
    <mergeCell ref="B47:I47"/>
    <mergeCell ref="B44:I44"/>
    <mergeCell ref="B45:I45"/>
    <mergeCell ref="B46:I46"/>
    <mergeCell ref="B35:I35"/>
    <mergeCell ref="B41:I41"/>
  </mergeCells>
  <phoneticPr fontId="1" type="noConversion"/>
  <dataValidations count="1">
    <dataValidation type="list" allowBlank="1" showInputMessage="1" showErrorMessage="1" sqref="A28" xr:uid="{00000000-0002-0000-0000-000000000000}">
      <formula1>"1.Italy,2.Germany,3.USA,4.India,5.Torino"</formula1>
    </dataValidation>
  </dataValidations>
  <pageMargins left="0.38" right="0.24" top="0.26" bottom="1" header="0.16" footer="0.5"/>
  <pageSetup paperSize="9" orientation="portrait" horizontalDpi="300" verticalDpi="300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2:V18"/>
  <sheetViews>
    <sheetView zoomScale="150" zoomScaleNormal="150" zoomScalePageLayoutView="150" workbookViewId="0">
      <selection activeCell="I5" sqref="I5"/>
    </sheetView>
  </sheetViews>
  <sheetFormatPr defaultColWidth="8.6328125" defaultRowHeight="13.5"/>
  <cols>
    <col min="1" max="1" width="35.6328125" style="25" customWidth="1"/>
    <col min="2" max="2" width="8.453125" style="25" bestFit="1" customWidth="1"/>
    <col min="3" max="3" width="8.1796875" style="25" bestFit="1" customWidth="1"/>
    <col min="4" max="4" width="8.6328125" style="25" bestFit="1" customWidth="1"/>
    <col min="5" max="5" width="8.1796875" style="25" bestFit="1" customWidth="1"/>
    <col min="6" max="6" width="8.6328125" style="25" bestFit="1" customWidth="1"/>
    <col min="7" max="7" width="8.1796875" style="25" bestFit="1" customWidth="1"/>
    <col min="8" max="8" width="8.81640625" style="25" bestFit="1" customWidth="1"/>
    <col min="9" max="9" width="8.81640625" style="25" customWidth="1"/>
    <col min="10" max="10" width="4.453125" style="25" hidden="1" customWidth="1"/>
    <col min="11" max="11" width="9.453125" style="25" customWidth="1"/>
    <col min="12" max="12" width="8.81640625" style="25" bestFit="1" customWidth="1"/>
    <col min="13" max="13" width="13.81640625" style="25" customWidth="1"/>
    <col min="14" max="14" width="3.6328125" style="25" bestFit="1" customWidth="1"/>
    <col min="15" max="15" width="14" style="25" customWidth="1"/>
    <col min="16" max="16" width="11.6328125" style="25" customWidth="1"/>
    <col min="17" max="17" width="7.453125" style="25" customWidth="1"/>
    <col min="18" max="18" width="9.36328125" style="25" bestFit="1" customWidth="1"/>
    <col min="19" max="16384" width="8.6328125" style="25"/>
  </cols>
  <sheetData>
    <row r="2" spans="1:22" ht="14" thickBot="1"/>
    <row r="3" spans="1:22" ht="15.5">
      <c r="A3" s="44">
        <f>IF(LEFT(A4,1)="M",1000,1)</f>
        <v>1000</v>
      </c>
      <c r="B3" s="45" t="s">
        <v>119</v>
      </c>
      <c r="C3" s="46" t="s">
        <v>303</v>
      </c>
      <c r="D3" s="46" t="s">
        <v>109</v>
      </c>
      <c r="E3" s="46" t="s">
        <v>304</v>
      </c>
      <c r="F3" s="46" t="s">
        <v>62</v>
      </c>
      <c r="G3" s="46" t="s">
        <v>305</v>
      </c>
      <c r="H3" s="46" t="s">
        <v>110</v>
      </c>
      <c r="I3" s="384" t="s">
        <v>111</v>
      </c>
      <c r="J3" s="47" t="s">
        <v>209</v>
      </c>
      <c r="K3" s="48" t="s">
        <v>112</v>
      </c>
      <c r="L3" s="49" t="s">
        <v>113</v>
      </c>
      <c r="M3" s="46" t="s">
        <v>3</v>
      </c>
      <c r="N3" s="386" t="s">
        <v>114</v>
      </c>
      <c r="O3" s="50" t="s">
        <v>306</v>
      </c>
      <c r="P3" s="51" t="s">
        <v>307</v>
      </c>
      <c r="Q3" s="380" t="s">
        <v>289</v>
      </c>
      <c r="R3" s="52" t="s">
        <v>308</v>
      </c>
      <c r="S3" s="53" t="s">
        <v>309</v>
      </c>
    </row>
    <row r="4" spans="1:22" ht="14" thickBot="1">
      <c r="A4" s="54" t="s">
        <v>66</v>
      </c>
      <c r="B4" s="55" t="str">
        <f>IF(LEFT($A$4,1)="M","mm","in")</f>
        <v>mm</v>
      </c>
      <c r="C4" s="56" t="str">
        <f t="shared" ref="C4:H4" si="0">IF(LEFT($A$4,1)="M","mm","in")</f>
        <v>mm</v>
      </c>
      <c r="D4" s="56" t="str">
        <f t="shared" si="0"/>
        <v>mm</v>
      </c>
      <c r="E4" s="56" t="str">
        <f t="shared" si="0"/>
        <v>mm</v>
      </c>
      <c r="F4" s="56" t="str">
        <f t="shared" si="0"/>
        <v>mm</v>
      </c>
      <c r="G4" s="56" t="str">
        <f t="shared" si="0"/>
        <v>mm</v>
      </c>
      <c r="H4" s="56" t="str">
        <f t="shared" si="0"/>
        <v>mm</v>
      </c>
      <c r="I4" s="385"/>
      <c r="J4" s="57" t="str">
        <f>IF(LEFT($A$4,1)="M","m3","in3")</f>
        <v>m3</v>
      </c>
      <c r="K4" s="58" t="str">
        <f>IF(LEFT($A$4,1)="M","kg","lb")</f>
        <v>kg</v>
      </c>
      <c r="L4" s="59" t="str">
        <f>IF(LEFT($A$4,1)="M","mm","in")</f>
        <v>mm</v>
      </c>
      <c r="M4" s="56" t="str">
        <f>IF(LEFT($A$4,1)="M","kg m2","lb-in2")</f>
        <v>kg m2</v>
      </c>
      <c r="N4" s="387"/>
      <c r="O4" s="60" t="str">
        <f>IF(LEFT($A$4,1)="M","kg m2","lb-in2")</f>
        <v>kg m2</v>
      </c>
      <c r="P4" s="61" t="str">
        <f>IF(LEFT($A$4,1)="M","kg","lb")</f>
        <v>kg</v>
      </c>
      <c r="Q4" s="381"/>
      <c r="R4" s="62" t="str">
        <f>O4</f>
        <v>kg m2</v>
      </c>
      <c r="S4" s="63" t="str">
        <f>P4</f>
        <v>kg</v>
      </c>
    </row>
    <row r="5" spans="1:22" ht="45" customHeight="1">
      <c r="A5" s="374" t="s">
        <v>115</v>
      </c>
      <c r="B5" s="101"/>
      <c r="C5" s="383"/>
      <c r="D5" s="383"/>
      <c r="E5" s="383"/>
      <c r="F5" s="383"/>
      <c r="G5" s="383"/>
      <c r="H5" s="106"/>
      <c r="I5" s="330" t="s">
        <v>108</v>
      </c>
      <c r="J5" s="92">
        <f>((B5/(2*$A$3))^2)*PI()*H5/$A$3</f>
        <v>0</v>
      </c>
      <c r="K5" s="64">
        <f>J5*IF(LEFT($A$4,1)="M",CHOOSE(LEFT(I5,1),7800,2700,1200),CHOOSE(LEFT(I5,1),7.8*0.0361,2.7*0.0361,1.2*0.0361))</f>
        <v>0</v>
      </c>
      <c r="L5" s="101"/>
      <c r="M5" s="90">
        <f>K5*(((B5/$A$3)^2)/8+(L5/$A$3)^2)</f>
        <v>0</v>
      </c>
      <c r="N5" s="110"/>
      <c r="O5" s="65">
        <f>M5*N5</f>
        <v>0</v>
      </c>
      <c r="P5" s="66">
        <f>K5*N5</f>
        <v>0</v>
      </c>
      <c r="Q5" s="114" t="s">
        <v>277</v>
      </c>
      <c r="R5" s="67">
        <f>IF(LEFT($Q5,1)="0",O5,0)</f>
        <v>0</v>
      </c>
      <c r="S5" s="68">
        <f>IF(LEFT($Q5,1)="0",P5,0)</f>
        <v>0</v>
      </c>
      <c r="V5" s="26" t="str">
        <f ca="1">Text!I31</f>
        <v>0 - Evet</v>
      </c>
    </row>
    <row r="6" spans="1:22" ht="45" customHeight="1">
      <c r="A6" s="374"/>
      <c r="B6" s="102"/>
      <c r="C6" s="373"/>
      <c r="D6" s="373"/>
      <c r="E6" s="373"/>
      <c r="F6" s="373"/>
      <c r="G6" s="373"/>
      <c r="H6" s="105"/>
      <c r="I6" s="331" t="s">
        <v>108</v>
      </c>
      <c r="J6" s="95">
        <f t="shared" ref="J6" si="1">((B6/(2*$A$3))^2)*PI()*H6/$A$3</f>
        <v>0</v>
      </c>
      <c r="K6" s="69">
        <f t="shared" ref="K6:K12" si="2">J6*IF(LEFT($A$4,1)="M",CHOOSE(LEFT(I6,1),7800,2700,1200),CHOOSE(LEFT(I6,1),7.8*0.0361,2.7*0.0361,1.2*0.0361))</f>
        <v>0</v>
      </c>
      <c r="L6" s="102"/>
      <c r="M6" s="70">
        <f t="shared" ref="M6:M8" si="3">K6*(((B6/$A$3)^2)/8+(L6/$A$3)^2)</f>
        <v>0</v>
      </c>
      <c r="N6" s="111"/>
      <c r="O6" s="71">
        <f t="shared" ref="O6:O12" si="4">M6*N6</f>
        <v>0</v>
      </c>
      <c r="P6" s="72">
        <f t="shared" ref="P6:P12" si="5">K6*N6</f>
        <v>0</v>
      </c>
      <c r="Q6" s="115" t="s">
        <v>277</v>
      </c>
      <c r="R6" s="73">
        <f t="shared" ref="R6:R12" si="6">IF(LEFT($Q6,1)="0",O6,0)</f>
        <v>0</v>
      </c>
      <c r="S6" s="74">
        <f t="shared" ref="S6:S12" si="7">IF(LEFT($Q6,1)="0",P6,0)</f>
        <v>0</v>
      </c>
      <c r="V6" s="26" t="str">
        <f ca="1">Text!I32</f>
        <v>1 - Hayır</v>
      </c>
    </row>
    <row r="7" spans="1:22" ht="45" customHeight="1">
      <c r="A7" s="370" t="s">
        <v>116</v>
      </c>
      <c r="B7" s="103"/>
      <c r="C7" s="104"/>
      <c r="D7" s="372"/>
      <c r="E7" s="372"/>
      <c r="F7" s="372"/>
      <c r="G7" s="372"/>
      <c r="H7" s="104"/>
      <c r="I7" s="332" t="s">
        <v>108</v>
      </c>
      <c r="J7" s="94">
        <f>((B7/(2*$A$3))^2)*PI()*H7/$A$3-((C7/(2*$A$3))^2)*PI()*H7/$A$3</f>
        <v>0</v>
      </c>
      <c r="K7" s="75">
        <f t="shared" si="2"/>
        <v>0</v>
      </c>
      <c r="L7" s="103"/>
      <c r="M7" s="91">
        <f t="shared" si="3"/>
        <v>0</v>
      </c>
      <c r="N7" s="112"/>
      <c r="O7" s="76">
        <f t="shared" si="4"/>
        <v>0</v>
      </c>
      <c r="P7" s="77">
        <f t="shared" si="5"/>
        <v>0</v>
      </c>
      <c r="Q7" s="115" t="s">
        <v>277</v>
      </c>
      <c r="R7" s="73">
        <f t="shared" si="6"/>
        <v>0</v>
      </c>
      <c r="S7" s="74">
        <f t="shared" si="7"/>
        <v>0</v>
      </c>
    </row>
    <row r="8" spans="1:22" ht="45" customHeight="1">
      <c r="A8" s="382"/>
      <c r="B8" s="102"/>
      <c r="C8" s="105"/>
      <c r="D8" s="373"/>
      <c r="E8" s="373"/>
      <c r="F8" s="373"/>
      <c r="G8" s="373"/>
      <c r="H8" s="105"/>
      <c r="I8" s="331" t="s">
        <v>108</v>
      </c>
      <c r="J8" s="95">
        <f>((B8/(2*$A$3))^2)*PI()*H8/$A$3-((C8/(2*$A$3))^2)*PI()*H8/$A$3</f>
        <v>0</v>
      </c>
      <c r="K8" s="97">
        <f t="shared" si="2"/>
        <v>0</v>
      </c>
      <c r="L8" s="102"/>
      <c r="M8" s="70">
        <f t="shared" si="3"/>
        <v>0</v>
      </c>
      <c r="N8" s="111"/>
      <c r="O8" s="71">
        <f t="shared" si="4"/>
        <v>0</v>
      </c>
      <c r="P8" s="72">
        <f t="shared" si="5"/>
        <v>0</v>
      </c>
      <c r="Q8" s="115" t="s">
        <v>277</v>
      </c>
      <c r="R8" s="73">
        <f t="shared" si="6"/>
        <v>0</v>
      </c>
      <c r="S8" s="74">
        <f t="shared" si="7"/>
        <v>0</v>
      </c>
    </row>
    <row r="9" spans="1:22" ht="45" customHeight="1">
      <c r="A9" s="374" t="s">
        <v>117</v>
      </c>
      <c r="B9" s="375"/>
      <c r="C9" s="372"/>
      <c r="D9" s="106"/>
      <c r="E9" s="372"/>
      <c r="F9" s="106"/>
      <c r="G9" s="372"/>
      <c r="H9" s="106"/>
      <c r="I9" s="333" t="s">
        <v>108</v>
      </c>
      <c r="J9" s="98">
        <f>(D9/$A$3)*(F9/$A$3)*(H9/$A$3)</f>
        <v>0</v>
      </c>
      <c r="K9" s="75">
        <f>J9*IF(LEFT($A$4,1)="M",CHOOSE(LEFT(I9,1),7800,2700,1200),CHOOSE(LEFT(I9,1),7.8*0.0361,2.7*0.0361,1.2*0.0361))</f>
        <v>0</v>
      </c>
      <c r="L9" s="108"/>
      <c r="M9" s="96">
        <f>K9*((((D9/$A$3)^2)+((F9/$A$3)^2))/12+((L9/$A$3)^2))</f>
        <v>0</v>
      </c>
      <c r="N9" s="110"/>
      <c r="O9" s="65">
        <f t="shared" si="4"/>
        <v>0</v>
      </c>
      <c r="P9" s="77">
        <f t="shared" si="5"/>
        <v>0</v>
      </c>
      <c r="Q9" s="115" t="s">
        <v>277</v>
      </c>
      <c r="R9" s="73">
        <f t="shared" si="6"/>
        <v>0</v>
      </c>
      <c r="S9" s="74">
        <f t="shared" si="7"/>
        <v>0</v>
      </c>
    </row>
    <row r="10" spans="1:22" ht="45" customHeight="1">
      <c r="A10" s="374"/>
      <c r="B10" s="379"/>
      <c r="C10" s="373"/>
      <c r="D10" s="105"/>
      <c r="E10" s="373"/>
      <c r="F10" s="105"/>
      <c r="G10" s="373"/>
      <c r="H10" s="105"/>
      <c r="I10" s="331" t="s">
        <v>108</v>
      </c>
      <c r="J10" s="95">
        <f t="shared" ref="J10" si="8">(D10/$A$3)*(F10/$A$3)*(H10/$A$3)</f>
        <v>0</v>
      </c>
      <c r="K10" s="69">
        <f t="shared" si="2"/>
        <v>0</v>
      </c>
      <c r="L10" s="102"/>
      <c r="M10" s="70">
        <f t="shared" ref="M10" si="9">K10*((((D10/$A$3)^2)+((F10/$A$3)^2))/12+((L10/$A$3)^2))</f>
        <v>0</v>
      </c>
      <c r="N10" s="111"/>
      <c r="O10" s="71">
        <f t="shared" si="4"/>
        <v>0</v>
      </c>
      <c r="P10" s="72">
        <f t="shared" si="5"/>
        <v>0</v>
      </c>
      <c r="Q10" s="115" t="s">
        <v>277</v>
      </c>
      <c r="R10" s="73">
        <f t="shared" si="6"/>
        <v>0</v>
      </c>
      <c r="S10" s="74">
        <f t="shared" si="7"/>
        <v>0</v>
      </c>
    </row>
    <row r="11" spans="1:22" ht="45" customHeight="1">
      <c r="A11" s="370" t="s">
        <v>118</v>
      </c>
      <c r="B11" s="375"/>
      <c r="C11" s="377"/>
      <c r="D11" s="104"/>
      <c r="E11" s="104"/>
      <c r="F11" s="104"/>
      <c r="G11" s="104"/>
      <c r="H11" s="104"/>
      <c r="I11" s="332" t="s">
        <v>108</v>
      </c>
      <c r="J11" s="98">
        <f>(D11/$A$3)*(F11/$A$3)*(H11/$A$3)-(E11/$A$3)*(G11/$A$3)*(H11/$A$3)</f>
        <v>0</v>
      </c>
      <c r="K11" s="75">
        <f t="shared" si="2"/>
        <v>0</v>
      </c>
      <c r="L11" s="103"/>
      <c r="M11" s="91">
        <f>K11*((((D11/$A$3)^2)+((E11/$A$3)^2)+((F11/$A$3)^2)+((G11/$A$3)^2))/12+((L11/$A$3)^2))</f>
        <v>0</v>
      </c>
      <c r="N11" s="112"/>
      <c r="O11" s="76">
        <f t="shared" si="4"/>
        <v>0</v>
      </c>
      <c r="P11" s="77">
        <f t="shared" si="5"/>
        <v>0</v>
      </c>
      <c r="Q11" s="115" t="s">
        <v>277</v>
      </c>
      <c r="R11" s="73">
        <f t="shared" si="6"/>
        <v>0</v>
      </c>
      <c r="S11" s="74">
        <f t="shared" si="7"/>
        <v>0</v>
      </c>
    </row>
    <row r="12" spans="1:22" ht="45" customHeight="1" thickBot="1">
      <c r="A12" s="371"/>
      <c r="B12" s="376"/>
      <c r="C12" s="378"/>
      <c r="D12" s="107"/>
      <c r="E12" s="107"/>
      <c r="F12" s="107"/>
      <c r="G12" s="107"/>
      <c r="H12" s="107"/>
      <c r="I12" s="334" t="s">
        <v>108</v>
      </c>
      <c r="J12" s="93">
        <f>(D12/$A$3)*(F12/$A$3)*(H12/$A$3)-(E12/$A$3)*(G12/$A$3)*(H12/$A$3)</f>
        <v>0</v>
      </c>
      <c r="K12" s="78">
        <f t="shared" si="2"/>
        <v>0</v>
      </c>
      <c r="L12" s="109"/>
      <c r="M12" s="79">
        <f>K12*((((D12/$A$3)^2)+((E12/$A$3)^2)+((F12/$A$3)^2)+((G12/$A$3)^2))/12+((L12/$A$3)^2))</f>
        <v>0</v>
      </c>
      <c r="N12" s="113"/>
      <c r="O12" s="80">
        <f t="shared" si="4"/>
        <v>0</v>
      </c>
      <c r="P12" s="81">
        <f t="shared" si="5"/>
        <v>0</v>
      </c>
      <c r="Q12" s="116" t="s">
        <v>277</v>
      </c>
      <c r="R12" s="82">
        <f t="shared" si="6"/>
        <v>0</v>
      </c>
      <c r="S12" s="83">
        <f t="shared" si="7"/>
        <v>0</v>
      </c>
    </row>
    <row r="13" spans="1:22" ht="14" thickBot="1">
      <c r="O13" s="84">
        <f>SUM(O5:O12)</f>
        <v>0</v>
      </c>
      <c r="P13" s="85">
        <f>SUM(P5:P12)</f>
        <v>0</v>
      </c>
      <c r="R13" s="84">
        <f>SUM(R5:R12)</f>
        <v>0</v>
      </c>
      <c r="S13" s="85">
        <f>SUM(S5:S12)</f>
        <v>0</v>
      </c>
    </row>
    <row r="16" spans="1:22">
      <c r="E16" s="86"/>
      <c r="F16" s="86"/>
    </row>
    <row r="17" spans="5:6">
      <c r="E17" s="86"/>
      <c r="F17" s="86"/>
    </row>
    <row r="18" spans="5:6">
      <c r="E18" s="86"/>
      <c r="F18" s="86"/>
    </row>
  </sheetData>
  <sheetProtection algorithmName="SHA-512" hashValue="aHs+bErisz/+AYEl2bOHFOkDbYAd8VPby7Pxnm1VM5eTL2KLHo5EnQu4/ryTCMcH3YXhLOir16bn2ivUjgV8Nw==" saltValue="/x9IOSoC3aWguXXYdhS4fQ==" spinCount="100000" sheet="1" objects="1" scenarios="1"/>
  <dataConsolidate/>
  <mergeCells count="22">
    <mergeCell ref="Q3:Q4"/>
    <mergeCell ref="A7:A8"/>
    <mergeCell ref="E5:E6"/>
    <mergeCell ref="I3:I4"/>
    <mergeCell ref="E7:E8"/>
    <mergeCell ref="A5:A6"/>
    <mergeCell ref="D5:D6"/>
    <mergeCell ref="F5:F6"/>
    <mergeCell ref="N3:N4"/>
    <mergeCell ref="G5:G6"/>
    <mergeCell ref="C5:C6"/>
    <mergeCell ref="A11:A12"/>
    <mergeCell ref="E9:E10"/>
    <mergeCell ref="A9:A10"/>
    <mergeCell ref="G7:G8"/>
    <mergeCell ref="B11:B12"/>
    <mergeCell ref="C11:C12"/>
    <mergeCell ref="C9:C10"/>
    <mergeCell ref="G9:G10"/>
    <mergeCell ref="B9:B10"/>
    <mergeCell ref="D7:D8"/>
    <mergeCell ref="F7:F8"/>
  </mergeCells>
  <phoneticPr fontId="1" type="noConversion"/>
  <conditionalFormatting sqref="O5:P12 K5:K12 M5:M12">
    <cfRule type="cellIs" dxfId="10" priority="1" stopIfTrue="1" operator="equal">
      <formula>0</formula>
    </cfRule>
  </conditionalFormatting>
  <dataValidations count="3">
    <dataValidation type="list" allowBlank="1" showInputMessage="1" showErrorMessage="1" sqref="I5:I12" xr:uid="{00000000-0002-0000-0100-000000000000}">
      <formula1>"1.Steel,2.Aluminum,3.Plastic"</formula1>
    </dataValidation>
    <dataValidation type="list" allowBlank="1" showInputMessage="1" showErrorMessage="1" sqref="A4" xr:uid="{00000000-0002-0000-0100-000001000000}">
      <formula1>"Metric,Imperial"</formula1>
    </dataValidation>
    <dataValidation type="list" allowBlank="1" showInputMessage="1" showErrorMessage="1" sqref="Q5:Q12" xr:uid="{00000000-0002-0000-0100-000002000000}">
      <formula1>$V$5:$V$6</formula1>
    </dataValidation>
  </dataValidations>
  <pageMargins left="0.16" right="0.08" top="1" bottom="1" header="0.5" footer="0.5"/>
  <pageSetup paperSize="9" scale="62" orientation="landscape" horizontalDpi="1200" verticalDpi="1200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X67"/>
  <sheetViews>
    <sheetView tabSelected="1" topLeftCell="A22" zoomScale="130" zoomScaleNormal="130" zoomScalePageLayoutView="160" workbookViewId="0">
      <selection activeCell="G36" sqref="G36"/>
    </sheetView>
  </sheetViews>
  <sheetFormatPr defaultColWidth="8.6328125" defaultRowHeight="13.5"/>
  <cols>
    <col min="1" max="1" width="3.453125" style="25" bestFit="1" customWidth="1"/>
    <col min="2" max="2" width="25.6328125" style="25" customWidth="1"/>
    <col min="3" max="3" width="6.453125" style="25" customWidth="1"/>
    <col min="4" max="4" width="10.453125" style="25" bestFit="1" customWidth="1"/>
    <col min="5" max="5" width="8.1796875" style="25" bestFit="1" customWidth="1"/>
    <col min="6" max="6" width="3.36328125" style="25" customWidth="1"/>
    <col min="7" max="7" width="16.6328125" style="25" customWidth="1"/>
    <col min="8" max="8" width="6.36328125" style="25" customWidth="1"/>
    <col min="9" max="9" width="8.6328125" style="25" bestFit="1" customWidth="1"/>
    <col min="10" max="11" width="8.36328125" style="25" customWidth="1"/>
    <col min="12" max="12" width="6.453125" style="25" bestFit="1" customWidth="1"/>
    <col min="13" max="13" width="7.36328125" style="25" bestFit="1" customWidth="1"/>
    <col min="14" max="14" width="9.36328125" style="25" bestFit="1" customWidth="1"/>
    <col min="15" max="15" width="7.36328125" style="25" customWidth="1"/>
    <col min="16" max="16" width="4.36328125" style="25" bestFit="1" customWidth="1"/>
    <col min="17" max="16384" width="8.6328125" style="25"/>
  </cols>
  <sheetData>
    <row r="1" spans="1:19" ht="23">
      <c r="A1" s="340" t="str">
        <f>'Company name'!B2</f>
        <v xml:space="preserve">CDS Cam Driven Systems </v>
      </c>
      <c r="B1" s="341"/>
      <c r="C1" s="341"/>
      <c r="D1" s="341"/>
      <c r="E1" s="339"/>
      <c r="F1" s="339"/>
      <c r="G1" s="339"/>
      <c r="H1" s="339"/>
      <c r="I1" s="339"/>
      <c r="J1" s="227"/>
      <c r="K1" s="227"/>
      <c r="L1" s="231"/>
      <c r="M1" s="231"/>
      <c r="N1" s="231"/>
      <c r="O1" s="231"/>
      <c r="P1" s="231"/>
      <c r="Q1" s="231"/>
      <c r="R1" s="231"/>
      <c r="S1" s="231"/>
    </row>
    <row r="2" spans="1:19">
      <c r="A2" s="338"/>
      <c r="B2" s="417" t="str">
        <f>'Company name'!B3</f>
        <v>Division of Bettinelli F.lli S.p.A.</v>
      </c>
      <c r="C2" s="418"/>
      <c r="D2" s="418"/>
      <c r="E2" s="419"/>
      <c r="F2" s="419"/>
      <c r="G2" s="419"/>
      <c r="H2" s="419"/>
      <c r="I2" s="419"/>
      <c r="J2" s="228"/>
      <c r="K2" s="228"/>
      <c r="L2" s="231"/>
      <c r="M2" s="231"/>
      <c r="N2" s="231"/>
      <c r="O2" s="231"/>
      <c r="P2" s="231"/>
      <c r="Q2" s="231"/>
      <c r="R2" s="231"/>
      <c r="S2" s="231"/>
    </row>
    <row r="3" spans="1:19">
      <c r="A3" s="339"/>
      <c r="B3" s="420" t="str">
        <f>'Company name'!B4</f>
        <v>Via Leonardo da Vinci, 56    26010 BAGNOLO CREMASCO (CR)</v>
      </c>
      <c r="C3" s="419"/>
      <c r="D3" s="419"/>
      <c r="E3" s="419"/>
      <c r="F3" s="419"/>
      <c r="G3" s="419"/>
      <c r="H3" s="419"/>
      <c r="I3" s="419"/>
      <c r="J3" s="228"/>
      <c r="K3" s="228"/>
      <c r="L3" s="231"/>
      <c r="M3" s="231"/>
      <c r="N3" s="231"/>
      <c r="O3" s="231"/>
      <c r="P3" s="231"/>
      <c r="Q3" s="231"/>
      <c r="R3" s="231"/>
      <c r="S3" s="231"/>
    </row>
    <row r="4" spans="1:19">
      <c r="A4" s="339"/>
      <c r="B4" s="420" t="str">
        <f>'Company name'!B5</f>
        <v>Tel. +39 0373 237311    Fax. +39 0373 237538     e-mail: cds@bettinelli.it   www.cdsindexers.com</v>
      </c>
      <c r="C4" s="419"/>
      <c r="D4" s="419"/>
      <c r="E4" s="419"/>
      <c r="F4" s="419"/>
      <c r="G4" s="419"/>
      <c r="H4" s="419"/>
      <c r="I4" s="419"/>
      <c r="J4" s="229"/>
      <c r="K4" s="229"/>
      <c r="L4" s="231"/>
      <c r="M4" s="231"/>
      <c r="N4" s="231"/>
      <c r="O4" s="231"/>
      <c r="P4" s="231"/>
      <c r="Q4" s="231"/>
      <c r="R4" s="231"/>
      <c r="S4" s="231"/>
    </row>
    <row r="5" spans="1:19">
      <c r="F5" s="226"/>
      <c r="G5" s="226"/>
      <c r="H5" s="226"/>
      <c r="I5" s="226"/>
      <c r="J5" s="226"/>
      <c r="K5" s="226"/>
      <c r="L5" s="231"/>
      <c r="M5" s="231"/>
      <c r="N5" s="231"/>
      <c r="O5" s="231"/>
      <c r="P5" s="231"/>
      <c r="Q5" s="231"/>
      <c r="R5" s="231"/>
      <c r="S5" s="231"/>
    </row>
    <row r="6" spans="1:19">
      <c r="F6" s="226"/>
      <c r="G6" s="226"/>
      <c r="H6" s="226"/>
      <c r="I6" s="226"/>
      <c r="J6" s="226"/>
      <c r="K6" s="226"/>
      <c r="L6" s="231"/>
      <c r="M6" s="231"/>
      <c r="N6" s="231"/>
      <c r="O6" s="231"/>
      <c r="P6" s="231"/>
      <c r="Q6" s="231"/>
      <c r="R6" s="231"/>
      <c r="S6" s="231"/>
    </row>
    <row r="7" spans="1:19">
      <c r="A7" s="345"/>
      <c r="B7" s="347"/>
      <c r="C7" s="347"/>
      <c r="D7" s="390" t="str">
        <f ca="1">Text!I3</f>
        <v>Firma ismi</v>
      </c>
      <c r="E7" s="390"/>
      <c r="F7" s="391"/>
      <c r="G7" s="391"/>
      <c r="H7" s="391"/>
      <c r="I7" s="391"/>
      <c r="J7" s="391"/>
      <c r="K7" s="391"/>
      <c r="L7" s="231"/>
      <c r="M7" s="231"/>
      <c r="N7" s="231"/>
      <c r="O7" s="231"/>
      <c r="P7" s="231"/>
      <c r="Q7" s="231"/>
      <c r="R7" s="231"/>
      <c r="S7" s="231"/>
    </row>
    <row r="8" spans="1:19">
      <c r="A8" s="347"/>
      <c r="B8" s="347"/>
      <c r="C8" s="347"/>
      <c r="D8" s="390" t="str">
        <f ca="1">Text!I4</f>
        <v>İş tanımı</v>
      </c>
      <c r="E8" s="390"/>
      <c r="F8" s="391"/>
      <c r="G8" s="391"/>
      <c r="H8" s="391"/>
      <c r="I8" s="391"/>
      <c r="J8" s="391"/>
      <c r="K8" s="391"/>
      <c r="L8" s="231"/>
      <c r="M8" s="231"/>
      <c r="N8" s="231"/>
      <c r="O8" s="231"/>
      <c r="P8" s="231"/>
      <c r="Q8" s="231"/>
      <c r="R8" s="231"/>
      <c r="S8" s="231"/>
    </row>
    <row r="9" spans="1:19">
      <c r="A9" s="347"/>
      <c r="B9" s="347"/>
      <c r="C9" s="347"/>
      <c r="D9" s="231" t="str">
        <f ca="1">Text!I5</f>
        <v>Tarih</v>
      </c>
      <c r="E9" s="231"/>
      <c r="F9" s="392"/>
      <c r="G9" s="393"/>
      <c r="L9" s="231"/>
      <c r="M9" s="231"/>
      <c r="N9" s="231"/>
      <c r="O9" s="231"/>
      <c r="P9" s="231"/>
      <c r="Q9" s="231"/>
      <c r="R9" s="231"/>
      <c r="S9" s="231"/>
    </row>
    <row r="10" spans="1:19">
      <c r="L10" s="231"/>
      <c r="M10" s="231"/>
      <c r="N10" s="231"/>
      <c r="O10" s="231"/>
      <c r="P10" s="231"/>
      <c r="Q10" s="231"/>
      <c r="R10" s="231"/>
      <c r="S10" s="231"/>
    </row>
    <row r="11" spans="1:19">
      <c r="L11" s="231"/>
      <c r="M11" s="231"/>
      <c r="N11" s="231"/>
      <c r="O11" s="231"/>
      <c r="P11" s="231"/>
      <c r="Q11" s="231"/>
      <c r="R11" s="231"/>
      <c r="S11" s="231"/>
    </row>
    <row r="12" spans="1:19">
      <c r="L12" s="316"/>
      <c r="M12" s="316"/>
      <c r="N12" s="316"/>
      <c r="O12" s="316"/>
      <c r="P12" s="316"/>
      <c r="Q12" s="316"/>
      <c r="R12" s="231"/>
      <c r="S12" s="231"/>
    </row>
    <row r="13" spans="1:19">
      <c r="L13" s="316"/>
      <c r="M13" s="316"/>
      <c r="N13" s="316"/>
      <c r="O13" s="316"/>
      <c r="P13" s="316"/>
      <c r="Q13" s="316"/>
      <c r="R13" s="231"/>
      <c r="S13" s="231"/>
    </row>
    <row r="14" spans="1:19">
      <c r="L14" s="316"/>
      <c r="M14" s="316"/>
      <c r="N14" s="316"/>
      <c r="O14" s="316"/>
      <c r="P14" s="316"/>
      <c r="Q14" s="316"/>
      <c r="R14" s="231"/>
      <c r="S14" s="231"/>
    </row>
    <row r="15" spans="1:19">
      <c r="L15" s="316"/>
      <c r="M15" s="317"/>
      <c r="N15" s="317"/>
      <c r="O15" s="317"/>
      <c r="P15" s="316"/>
      <c r="Q15" s="316"/>
      <c r="R15" s="231"/>
      <c r="S15" s="231"/>
    </row>
    <row r="16" spans="1:19">
      <c r="L16" s="316"/>
      <c r="M16" s="317">
        <v>2</v>
      </c>
      <c r="N16" s="317" t="str">
        <f>"A-"&amp;IF($D$40=50,"0.64","0.54")</f>
        <v>A-0.64</v>
      </c>
      <c r="O16" s="317" t="str">
        <f ca="1">Text!I31</f>
        <v>0 - Evet</v>
      </c>
      <c r="P16" s="316" t="str">
        <f ca="1">Text!I46</f>
        <v>G - Evet</v>
      </c>
      <c r="Q16" s="316"/>
      <c r="R16" s="231"/>
      <c r="S16" s="231"/>
    </row>
    <row r="17" spans="12:19">
      <c r="L17" s="316"/>
      <c r="M17" s="317">
        <v>3</v>
      </c>
      <c r="N17" s="317" t="str">
        <f>"B-"&amp;IF($D$40=50,"0.86","0.71")</f>
        <v>B-0.86</v>
      </c>
      <c r="O17" s="317" t="str">
        <f ca="1">Text!I32</f>
        <v>1 - Hayır</v>
      </c>
      <c r="P17" s="316" t="str">
        <f ca="1">Text!I47</f>
        <v>X - Hayır</v>
      </c>
      <c r="Q17" s="316"/>
      <c r="R17" s="231"/>
      <c r="S17" s="231"/>
    </row>
    <row r="18" spans="12:19">
      <c r="L18" s="316"/>
      <c r="M18" s="317">
        <v>4</v>
      </c>
      <c r="N18" s="317" t="str">
        <f>"C-"&amp;IF($D$40=50,"1.20","1.00")</f>
        <v>C-1.20</v>
      </c>
      <c r="O18" s="317"/>
      <c r="P18" s="316"/>
      <c r="Q18" s="316"/>
      <c r="R18" s="231"/>
      <c r="S18" s="231"/>
    </row>
    <row r="19" spans="12:19">
      <c r="L19" s="316"/>
      <c r="M19" s="317">
        <f>IF(LEFT($D$39,1)&lt;="F",5,0)*0+5</f>
        <v>5</v>
      </c>
      <c r="N19" s="317" t="str">
        <f>"D-"&amp;IF($D$40=50,"1.71","1.43")</f>
        <v>D-1.71</v>
      </c>
      <c r="O19" s="317" t="str">
        <f ca="1">Text!I37</f>
        <v>N - Normal</v>
      </c>
      <c r="P19" s="316"/>
      <c r="Q19" s="316"/>
      <c r="R19" s="231"/>
      <c r="S19" s="231"/>
    </row>
    <row r="20" spans="12:19">
      <c r="L20" s="316"/>
      <c r="M20" s="317">
        <f>IF(LEFT($D$39,1)&lt;="F",6,0)*0+6</f>
        <v>6</v>
      </c>
      <c r="N20" s="317" t="str">
        <f>"E-"&amp;IF($D$40=50,"2.10","1.75")</f>
        <v>E-2.10</v>
      </c>
      <c r="O20" s="317" t="str">
        <f ca="1">Text!I38</f>
        <v>Z - Frenli</v>
      </c>
      <c r="P20" s="316"/>
      <c r="Q20" s="316"/>
      <c r="R20" s="231"/>
      <c r="S20" s="231"/>
    </row>
    <row r="21" spans="12:19">
      <c r="L21" s="316"/>
      <c r="M21" s="317">
        <f>IF(LEFT($D$39,1)&lt;="F",8,0)*0+8</f>
        <v>8</v>
      </c>
      <c r="N21" s="317" t="str">
        <f>"F-"&amp;IF($D$40=50,"2.40","2.00")</f>
        <v>F-2.40</v>
      </c>
      <c r="O21" s="317"/>
      <c r="P21" s="316"/>
      <c r="Q21" s="316"/>
      <c r="R21" s="231"/>
      <c r="S21" s="231"/>
    </row>
    <row r="22" spans="12:19">
      <c r="L22" s="316"/>
      <c r="M22" s="317">
        <f>IF(LEFT($D$39,1)&lt;="F",10,0)*0+10</f>
        <v>10</v>
      </c>
      <c r="N22" s="318" t="str">
        <f>IF($D$38&lt;=40,"G-"&amp;IF($D$40=50,"3.26","2.71"),"")</f>
        <v>G-3.26</v>
      </c>
      <c r="O22" s="317"/>
      <c r="P22" s="316"/>
      <c r="Q22" s="316"/>
      <c r="R22" s="231"/>
      <c r="S22" s="231"/>
    </row>
    <row r="23" spans="12:19">
      <c r="L23" s="316"/>
      <c r="M23" s="317">
        <f>IF(LEFT($D$39,1)&lt;="F",12,0)*0+12</f>
        <v>12</v>
      </c>
      <c r="N23" s="318" t="str">
        <f>IF($D$38&lt;=40,"H-"&amp;IF($D$40=50,"3.99","3.32"),"")</f>
        <v>H-3.99</v>
      </c>
      <c r="O23" s="317"/>
      <c r="P23" s="316"/>
      <c r="Q23" s="316"/>
      <c r="R23" s="231"/>
      <c r="S23" s="231"/>
    </row>
    <row r="24" spans="12:19">
      <c r="L24" s="316"/>
      <c r="M24" s="317"/>
      <c r="N24" s="318" t="str">
        <f>IF($D$38&lt;=40,"I-"&amp;IF($D$40=50,"5.40","4.50"),"")</f>
        <v>I-5.40</v>
      </c>
      <c r="O24" s="317"/>
      <c r="P24" s="316"/>
      <c r="Q24" s="316"/>
      <c r="R24" s="231"/>
      <c r="S24" s="231"/>
    </row>
    <row r="25" spans="12:19">
      <c r="L25" s="316"/>
      <c r="M25" s="317"/>
      <c r="N25" s="318" t="str">
        <f>IF($D$38&lt;=40,"J-"&amp;IF($D$40=50,"7.54","6.29"),"")</f>
        <v>J-7.54</v>
      </c>
      <c r="O25" s="317"/>
      <c r="P25" s="316"/>
      <c r="Q25" s="316"/>
      <c r="R25" s="231"/>
      <c r="S25" s="231"/>
    </row>
    <row r="26" spans="12:19">
      <c r="L26" s="316"/>
      <c r="M26" s="317"/>
      <c r="N26" s="318" t="str">
        <f>IF($D$38&lt;=40,"K-"&amp;IF($D$40=50,"9.60 sec.","8.00 sec."),"")</f>
        <v>K-9.60 sec.</v>
      </c>
      <c r="O26" s="317"/>
      <c r="P26" s="316"/>
      <c r="Q26" s="316"/>
      <c r="R26" s="231"/>
      <c r="S26" s="231"/>
    </row>
    <row r="27" spans="12:19">
      <c r="L27" s="316"/>
      <c r="M27" s="317"/>
      <c r="N27" s="318"/>
      <c r="O27" s="317"/>
      <c r="P27" s="316"/>
      <c r="Q27" s="316"/>
      <c r="R27" s="231"/>
      <c r="S27" s="231"/>
    </row>
    <row r="28" spans="12:19">
      <c r="L28" s="316"/>
      <c r="M28" s="317"/>
      <c r="N28" s="318">
        <f>IF(D41="-",1,0)</f>
        <v>1</v>
      </c>
      <c r="O28" s="317"/>
      <c r="P28" s="316"/>
      <c r="Q28" s="316"/>
      <c r="R28" s="231"/>
      <c r="S28" s="231"/>
    </row>
    <row r="29" spans="12:19">
      <c r="L29" s="316"/>
      <c r="M29" s="316"/>
      <c r="N29" s="316"/>
      <c r="O29" s="316"/>
      <c r="P29" s="316"/>
      <c r="Q29" s="316"/>
      <c r="R29" s="231"/>
      <c r="S29" s="231"/>
    </row>
    <row r="30" spans="12:19">
      <c r="L30" s="316"/>
      <c r="M30" s="316"/>
      <c r="N30" s="316"/>
      <c r="O30" s="316"/>
      <c r="P30" s="316"/>
      <c r="Q30" s="316"/>
      <c r="R30" s="231"/>
      <c r="S30" s="231"/>
    </row>
    <row r="31" spans="12:19">
      <c r="L31" s="316"/>
      <c r="M31" s="316"/>
      <c r="N31" s="316"/>
      <c r="O31" s="316"/>
      <c r="P31" s="316"/>
      <c r="Q31" s="316"/>
      <c r="R31" s="231"/>
      <c r="S31" s="231"/>
    </row>
    <row r="32" spans="12:19">
      <c r="L32" s="316"/>
      <c r="M32" s="316"/>
      <c r="N32" s="316"/>
      <c r="O32" s="316"/>
      <c r="P32" s="316"/>
      <c r="Q32" s="316"/>
      <c r="R32" s="231"/>
      <c r="S32" s="231"/>
    </row>
    <row r="33" spans="1:24">
      <c r="L33" s="316"/>
      <c r="M33" s="316"/>
      <c r="N33" s="316"/>
      <c r="O33" s="316"/>
      <c r="P33" s="316"/>
      <c r="Q33" s="316"/>
      <c r="R33" s="231"/>
      <c r="S33" s="231"/>
    </row>
    <row r="34" spans="1:24">
      <c r="L34" s="316"/>
      <c r="M34" s="316"/>
      <c r="N34" s="316"/>
      <c r="O34" s="316"/>
      <c r="P34" s="316"/>
      <c r="Q34" s="316"/>
      <c r="R34" s="231"/>
      <c r="S34" s="231"/>
    </row>
    <row r="35" spans="1:24">
      <c r="A35" s="29"/>
      <c r="B35" s="232" t="str">
        <f ca="1">Text!I6</f>
        <v>Dil</v>
      </c>
      <c r="C35" s="233"/>
      <c r="D35" s="398" t="s">
        <v>243</v>
      </c>
      <c r="E35" s="399"/>
      <c r="F35" s="28" t="str">
        <f>IF(LEFT(D35,1)&lt;&gt;"",LEFT(D35,1),1)</f>
        <v>7</v>
      </c>
      <c r="G35" s="231"/>
      <c r="H35" s="231"/>
      <c r="I35" s="231"/>
      <c r="J35" s="231"/>
      <c r="K35" s="231"/>
      <c r="L35" s="316"/>
      <c r="M35" s="316"/>
      <c r="N35" s="316"/>
      <c r="O35" s="316"/>
      <c r="P35" s="316"/>
      <c r="Q35" s="316"/>
      <c r="R35" s="231"/>
      <c r="S35" s="231"/>
    </row>
    <row r="36" spans="1:24">
      <c r="B36" s="234"/>
      <c r="C36" s="231"/>
      <c r="G36" s="231"/>
      <c r="H36" s="231"/>
      <c r="I36" s="231"/>
      <c r="J36" s="231"/>
      <c r="K36" s="231"/>
      <c r="L36" s="316"/>
      <c r="M36" s="316"/>
      <c r="N36" s="316"/>
      <c r="O36" s="316"/>
      <c r="P36" s="316"/>
      <c r="Q36" s="316"/>
      <c r="R36" s="231"/>
      <c r="S36" s="231"/>
    </row>
    <row r="37" spans="1:24">
      <c r="A37" s="29"/>
      <c r="B37" s="232" t="str">
        <f ca="1">Text!I7</f>
        <v>Birim</v>
      </c>
      <c r="C37" s="233"/>
      <c r="D37" s="119" t="s">
        <v>66</v>
      </c>
      <c r="E37" s="241"/>
      <c r="G37" s="231"/>
      <c r="H37" s="258"/>
      <c r="I37" s="231"/>
      <c r="J37" s="231"/>
      <c r="K37" s="231"/>
      <c r="L37" s="316"/>
      <c r="M37" s="316"/>
      <c r="N37" s="316"/>
      <c r="O37" s="316"/>
      <c r="P37" s="316"/>
      <c r="Q37" s="316"/>
      <c r="R37" s="231"/>
      <c r="S37" s="231"/>
    </row>
    <row r="38" spans="1:24">
      <c r="A38" s="30"/>
      <c r="B38" s="235" t="str">
        <f ca="1">Text!I8</f>
        <v>İstasyon sayısı</v>
      </c>
      <c r="C38" s="236" t="s">
        <v>26</v>
      </c>
      <c r="D38" s="120">
        <v>4</v>
      </c>
      <c r="E38" s="242"/>
      <c r="G38" s="259" t="str">
        <f ca="1">Text!I11</f>
        <v>Çıkış açısı</v>
      </c>
      <c r="H38" s="260" t="s">
        <v>62</v>
      </c>
      <c r="I38" s="261" t="str">
        <f>360/D38&amp;"°"</f>
        <v>90°</v>
      </c>
      <c r="J38" s="262"/>
      <c r="K38" s="231"/>
      <c r="L38" s="316"/>
      <c r="M38" s="316"/>
      <c r="N38" s="316"/>
      <c r="O38" s="316"/>
      <c r="P38" s="316"/>
      <c r="Q38" s="316"/>
      <c r="R38" s="231"/>
      <c r="S38" s="231"/>
    </row>
    <row r="39" spans="1:24" ht="15.5">
      <c r="A39" s="30"/>
      <c r="B39" s="235" t="str">
        <f ca="1">Text!I9</f>
        <v>Çevrim hızı kodu</v>
      </c>
      <c r="C39" s="236"/>
      <c r="D39" s="121" t="s">
        <v>486</v>
      </c>
      <c r="E39" s="242" t="s">
        <v>295</v>
      </c>
      <c r="F39" s="33">
        <f>CHOOSE(CODE(Inertia!D39)-CODE("A")+1,15,20,28,40,49,56,76,93,126,176,224)</f>
        <v>28</v>
      </c>
      <c r="G39" s="263" t="str">
        <f ca="1">Text!I42</f>
        <v xml:space="preserve">Çevrim hızı </v>
      </c>
      <c r="H39" s="264" t="s">
        <v>435</v>
      </c>
      <c r="I39" s="265">
        <f ca="1">Selection!AN253</f>
        <v>1.2</v>
      </c>
      <c r="J39" s="266" t="s">
        <v>295</v>
      </c>
      <c r="K39" s="267"/>
      <c r="L39" s="316"/>
      <c r="M39" s="316"/>
      <c r="N39" s="316"/>
      <c r="O39" s="316"/>
      <c r="P39" s="316"/>
      <c r="Q39" s="316"/>
      <c r="R39" s="231"/>
      <c r="S39" s="231"/>
    </row>
    <row r="40" spans="1:24" ht="15.5">
      <c r="A40" s="30"/>
      <c r="B40" s="237" t="str">
        <f ca="1">Text!I10</f>
        <v>Motor frekansı</v>
      </c>
      <c r="C40" s="238"/>
      <c r="D40" s="121">
        <v>50</v>
      </c>
      <c r="E40" s="242" t="s">
        <v>39</v>
      </c>
      <c r="F40" s="33"/>
      <c r="G40" s="268" t="str">
        <f ca="1">Text!I43</f>
        <v xml:space="preserve">Hareket hızı </v>
      </c>
      <c r="H40" s="269" t="s">
        <v>436</v>
      </c>
      <c r="I40" s="270">
        <f ca="1">I39*CHOOSE(Inertia!D38,330,330,330,300,300,300,300,300,300,300,300,300)/360</f>
        <v>1</v>
      </c>
      <c r="J40" s="271" t="s">
        <v>295</v>
      </c>
      <c r="K40" s="267"/>
      <c r="L40" s="231"/>
      <c r="M40" s="316"/>
      <c r="N40" s="316"/>
      <c r="O40" s="316"/>
      <c r="P40" s="316"/>
      <c r="Q40" s="316"/>
      <c r="R40" s="231"/>
      <c r="S40" s="231"/>
    </row>
    <row r="41" spans="1:24">
      <c r="A41" s="30"/>
      <c r="B41" s="237" t="str">
        <f ca="1">Text!I41</f>
        <v>Motor redüktör</v>
      </c>
      <c r="C41" s="238"/>
      <c r="D41" s="121" t="s">
        <v>487</v>
      </c>
      <c r="E41" s="242"/>
      <c r="F41" s="26">
        <f>IF(D41="-",1,10000000)</f>
        <v>1</v>
      </c>
      <c r="G41" s="272"/>
      <c r="H41" s="273"/>
      <c r="I41" s="274"/>
      <c r="J41" s="258"/>
      <c r="K41" s="231"/>
      <c r="L41" s="316"/>
      <c r="M41" s="316"/>
      <c r="N41" s="316"/>
      <c r="O41" s="316"/>
      <c r="P41" s="316"/>
      <c r="Q41" s="316"/>
      <c r="R41" s="231"/>
      <c r="S41" s="319"/>
      <c r="T41" s="35"/>
      <c r="U41" s="35"/>
      <c r="V41" s="35"/>
      <c r="W41" s="35"/>
      <c r="X41" s="35"/>
    </row>
    <row r="42" spans="1:24">
      <c r="A42" s="30"/>
      <c r="B42" s="237" t="str">
        <f ca="1">Text!I36</f>
        <v>Motor tipi</v>
      </c>
      <c r="C42" s="238"/>
      <c r="D42" s="327" t="s">
        <v>357</v>
      </c>
      <c r="E42" s="242"/>
      <c r="F42" s="26"/>
      <c r="G42" s="275"/>
      <c r="H42" s="276"/>
      <c r="I42" s="276"/>
      <c r="J42" s="276"/>
      <c r="K42" s="276"/>
      <c r="L42" s="320"/>
      <c r="M42" s="320"/>
      <c r="N42" s="316"/>
      <c r="O42" s="316"/>
      <c r="P42" s="316"/>
      <c r="Q42" s="231"/>
      <c r="R42" s="231"/>
      <c r="S42" s="319"/>
      <c r="T42" s="35"/>
      <c r="U42" s="35"/>
      <c r="V42" s="35"/>
      <c r="W42" s="35"/>
      <c r="X42" s="35"/>
    </row>
    <row r="43" spans="1:24">
      <c r="A43" s="30"/>
      <c r="B43" s="237" t="str">
        <f ca="1">Text!I44</f>
        <v>Phase cam</v>
      </c>
      <c r="C43" s="238"/>
      <c r="D43" s="327" t="s">
        <v>462</v>
      </c>
      <c r="E43" s="242"/>
      <c r="F43" s="26"/>
      <c r="G43" s="275"/>
      <c r="H43" s="276"/>
      <c r="I43" s="276"/>
      <c r="J43" s="276"/>
      <c r="K43" s="276"/>
      <c r="L43" s="320"/>
      <c r="M43" s="320"/>
      <c r="N43" s="316"/>
      <c r="O43" s="316"/>
      <c r="P43" s="316"/>
      <c r="Q43" s="231"/>
      <c r="R43" s="231"/>
      <c r="S43" s="319"/>
      <c r="T43" s="35"/>
      <c r="U43" s="35"/>
      <c r="V43" s="35"/>
      <c r="W43" s="35"/>
      <c r="X43" s="35"/>
    </row>
    <row r="44" spans="1:24">
      <c r="A44" s="32"/>
      <c r="B44" s="239" t="str">
        <f ca="1">Text!I45</f>
        <v>Torque limiter</v>
      </c>
      <c r="C44" s="240"/>
      <c r="D44" s="122" t="s">
        <v>468</v>
      </c>
      <c r="E44" s="243"/>
      <c r="F44" s="26"/>
      <c r="G44" s="275"/>
      <c r="H44" s="276"/>
      <c r="I44" s="276"/>
      <c r="J44" s="276"/>
      <c r="K44" s="276"/>
      <c r="L44" s="320"/>
      <c r="M44" s="320"/>
      <c r="N44" s="316"/>
      <c r="O44" s="316"/>
      <c r="P44" s="316"/>
      <c r="Q44" s="231"/>
      <c r="R44" s="231"/>
      <c r="S44" s="319"/>
      <c r="T44" s="35"/>
      <c r="U44" s="35"/>
      <c r="V44" s="35"/>
      <c r="W44" s="35"/>
      <c r="X44" s="35"/>
    </row>
    <row r="45" spans="1:24">
      <c r="A45" s="37"/>
      <c r="B45" s="89"/>
      <c r="C45" s="37"/>
      <c r="D45" s="130"/>
      <c r="E45" s="37"/>
      <c r="F45" s="26"/>
      <c r="G45" s="275"/>
      <c r="H45" s="276"/>
      <c r="I45" s="276"/>
      <c r="J45" s="276"/>
      <c r="K45" s="276"/>
      <c r="L45" s="320"/>
      <c r="M45" s="320"/>
      <c r="N45" s="316"/>
      <c r="O45" s="316"/>
      <c r="P45" s="316"/>
      <c r="Q45" s="231"/>
      <c r="R45" s="231"/>
      <c r="S45" s="319"/>
      <c r="T45" s="35"/>
      <c r="U45" s="35"/>
      <c r="V45" s="35"/>
      <c r="W45" s="35"/>
      <c r="X45" s="35"/>
    </row>
    <row r="46" spans="1:24" ht="15">
      <c r="A46" s="405" t="str">
        <f ca="1">Text!I12</f>
        <v>Atalet</v>
      </c>
      <c r="B46" s="406"/>
      <c r="C46" s="406"/>
      <c r="D46" s="406"/>
      <c r="E46" s="407"/>
      <c r="F46" s="36"/>
      <c r="G46" s="34"/>
      <c r="H46" s="34"/>
      <c r="I46" s="34"/>
      <c r="J46" s="34"/>
      <c r="K46" s="34"/>
      <c r="L46" s="320"/>
      <c r="M46" s="320"/>
      <c r="N46" s="316"/>
      <c r="O46" s="316"/>
      <c r="P46" s="316"/>
      <c r="Q46" s="231"/>
      <c r="R46" s="231"/>
      <c r="S46" s="231"/>
    </row>
    <row r="47" spans="1:24" ht="15.5">
      <c r="A47" s="244"/>
      <c r="B47" s="245" t="str">
        <f ca="1">Text!I13</f>
        <v>Tabla çapı</v>
      </c>
      <c r="C47" s="246" t="s">
        <v>437</v>
      </c>
      <c r="D47" s="123"/>
      <c r="E47" s="249" t="str">
        <f>IF(LEFT($D$37,1)="M","mm","in")</f>
        <v>mm</v>
      </c>
      <c r="F47" s="36">
        <f>IF(LEFT($D$37,1)="M",1,25.4)*D47</f>
        <v>0</v>
      </c>
      <c r="G47" s="408" t="str">
        <f ca="1">Text!I34</f>
        <v>Atalet hesaplama bölümündeki bilgiler</v>
      </c>
      <c r="H47" s="408"/>
      <c r="I47" s="408"/>
      <c r="J47" s="408"/>
      <c r="K47" s="128" t="s">
        <v>277</v>
      </c>
      <c r="L47" s="316" t="str">
        <f>LEFT(K47,1)</f>
        <v>1</v>
      </c>
      <c r="M47" s="316"/>
      <c r="N47" s="316"/>
      <c r="O47" s="316"/>
      <c r="P47" s="316"/>
      <c r="Q47" s="231"/>
      <c r="R47" s="231"/>
      <c r="S47" s="231"/>
    </row>
    <row r="48" spans="1:24" ht="15.5">
      <c r="A48" s="247"/>
      <c r="B48" s="237" t="str">
        <f ca="1">Text!I15</f>
        <v>Tabla ağırlığı</v>
      </c>
      <c r="C48" s="238" t="s">
        <v>438</v>
      </c>
      <c r="D48" s="129"/>
      <c r="E48" s="250" t="str">
        <f>IF(LEFT($D$37,1)="M","kg","lb")</f>
        <v>kg</v>
      </c>
      <c r="F48" s="36">
        <f>IF(LEFT($D$37,1)="M",1,25.4)*D49</f>
        <v>0</v>
      </c>
      <c r="G48" s="277"/>
      <c r="H48" s="241"/>
      <c r="I48" s="278" t="str">
        <f ca="1">Text!I25</f>
        <v>Tabla</v>
      </c>
      <c r="J48" s="279" t="str">
        <f ca="1">Text!I26</f>
        <v>İş parçası</v>
      </c>
      <c r="K48" s="290" t="str">
        <f ca="1">Text!I27</f>
        <v>Toplam</v>
      </c>
      <c r="L48" s="305"/>
      <c r="M48" s="305"/>
      <c r="N48" s="305"/>
      <c r="O48" s="231"/>
      <c r="P48" s="231"/>
      <c r="Q48" s="231"/>
      <c r="R48" s="231"/>
      <c r="S48" s="231"/>
    </row>
    <row r="49" spans="1:19" ht="15.5">
      <c r="A49" s="244"/>
      <c r="B49" s="245" t="str">
        <f ca="1">Text!I39</f>
        <v>İş parçası tutucu merkezden uzaklığı</v>
      </c>
      <c r="C49" s="246" t="s">
        <v>439</v>
      </c>
      <c r="D49" s="123"/>
      <c r="E49" s="249" t="str">
        <f>IF(LEFT($D$37,1)="M","mm","in")</f>
        <v>mm</v>
      </c>
      <c r="F49" s="26">
        <f>IF(LEFT($D$37,1)="M",1,25.4)*IF(D51=0,D49,D51)</f>
        <v>0</v>
      </c>
      <c r="G49" s="280" t="str">
        <f ca="1">Text!I22</f>
        <v>Ağırlık</v>
      </c>
      <c r="H49" s="281" t="str">
        <f>IF(LEFT($D$37,1)="M","kg","lb")</f>
        <v>kg</v>
      </c>
      <c r="I49" s="282">
        <f>IF(L47="0",'Inertia Calculator'!P13-'Inertia Calculator'!S13,D48+D50*D38)</f>
        <v>0</v>
      </c>
      <c r="J49" s="283">
        <f>IF(L47="0",'Inertia Calculator'!S13,D52*D38)</f>
        <v>0</v>
      </c>
      <c r="K49" s="291">
        <f>I49+J49</f>
        <v>0</v>
      </c>
      <c r="L49" s="321">
        <f>IF(LEFT($D$37,1)="M",1,0.45)*I49</f>
        <v>0</v>
      </c>
      <c r="M49" s="322">
        <f>IF(LEFT($D$37,1)="M",1,0.45)*J49</f>
        <v>0</v>
      </c>
      <c r="N49" s="322">
        <f>IF(LEFT($D$37,1)="M",1,0.45)*K49</f>
        <v>0</v>
      </c>
      <c r="O49" s="231"/>
      <c r="P49" s="231"/>
      <c r="Q49" s="231"/>
      <c r="R49" s="231"/>
      <c r="S49" s="231"/>
    </row>
    <row r="50" spans="1:19" ht="15.5">
      <c r="A50" s="248"/>
      <c r="B50" s="239" t="str">
        <f ca="1">Text!I40</f>
        <v>İş parçası tutucusu ağırlığı</v>
      </c>
      <c r="C50" s="240" t="s">
        <v>440</v>
      </c>
      <c r="D50" s="124"/>
      <c r="E50" s="251" t="str">
        <f>IF(LEFT($D$37,1)="M","kg","lb")</f>
        <v>kg</v>
      </c>
      <c r="F50" s="36">
        <f>IF(LEFT($D$37,1)="M",1,0.45)*D48</f>
        <v>0</v>
      </c>
      <c r="G50" s="284" t="str">
        <f ca="1">Text!I23</f>
        <v>Atalet</v>
      </c>
      <c r="H50" s="285" t="str">
        <f>IF(LEFT($D$37,1)="M","kg m2","lb-in2")</f>
        <v>kg m2</v>
      </c>
      <c r="I50" s="286">
        <f>IF(L47="0",'Inertia Calculator'!O13-'Inertia Calculator'!R13,IF(LEFT($D$37,1)="M",(D48*((D47/1000)^2)/8+D38*D50*((D49/1000)^2)),(D48*((D47)^2)/8+D38*D50*((D51)^2))))</f>
        <v>0</v>
      </c>
      <c r="J50" s="287">
        <f>IF(L47="0",'Inertia Calculator'!R13,IF(LEFT($D$37,1)="M",J49*(D51/1000)^2,J49*(D51)^2))</f>
        <v>0</v>
      </c>
      <c r="K50" s="292">
        <f>I50+J50</f>
        <v>0</v>
      </c>
      <c r="L50" s="321">
        <f>IF(LEFT($D$37,1)="M",1,0.0002926)*I50</f>
        <v>0</v>
      </c>
      <c r="M50" s="322">
        <f>IF(LEFT($D$37,1)="M",1,0.0002926)*J50</f>
        <v>0</v>
      </c>
      <c r="N50" s="322">
        <f>IF(LEFT($D$37,1)="M",1,0.0002926)*K50</f>
        <v>0</v>
      </c>
      <c r="O50" s="231"/>
      <c r="P50" s="231"/>
      <c r="Q50" s="231"/>
      <c r="R50" s="231"/>
      <c r="S50" s="231"/>
    </row>
    <row r="51" spans="1:19" ht="15.5">
      <c r="A51" s="247"/>
      <c r="B51" s="237" t="str">
        <f ca="1">Text!I14</f>
        <v>İş parçası merkezden uzaklığı</v>
      </c>
      <c r="C51" s="238" t="s">
        <v>441</v>
      </c>
      <c r="D51" s="129"/>
      <c r="E51" s="250" t="str">
        <f>IF(LEFT($D$37,1)="M","mm","in")</f>
        <v>mm</v>
      </c>
      <c r="F51" s="36">
        <f>IF(LEFT($D$37,1)="M",1,0.45)*D50</f>
        <v>0</v>
      </c>
      <c r="G51" s="288" t="str">
        <f ca="1">Text!I24</f>
        <v>Atalet yarı çapı</v>
      </c>
      <c r="H51" s="289" t="str">
        <f>IF(LEFT($D$37,1)="M","mm","in")</f>
        <v>mm</v>
      </c>
      <c r="I51" s="403"/>
      <c r="J51" s="404"/>
      <c r="K51" s="293" t="str">
        <f>IF(K49=0,"",IF(LEFT(D37,1)="M",SQRT(K50/K49)*1000,SQRT(K50/K49)))</f>
        <v/>
      </c>
      <c r="L51" s="321" t="e">
        <f>IF(LEFT($D$37,1)="M",1,25.4)*K51</f>
        <v>#VALUE!</v>
      </c>
      <c r="M51" s="322"/>
      <c r="N51" s="322"/>
      <c r="O51" s="231"/>
      <c r="P51" s="231"/>
      <c r="Q51" s="231"/>
      <c r="R51" s="231"/>
      <c r="S51" s="231"/>
    </row>
    <row r="52" spans="1:19" ht="15.5">
      <c r="A52" s="248"/>
      <c r="B52" s="239" t="str">
        <f ca="1">Text!I16</f>
        <v>İş parçası ağırlığı</v>
      </c>
      <c r="C52" s="240" t="s">
        <v>442</v>
      </c>
      <c r="D52" s="124"/>
      <c r="E52" s="251" t="str">
        <f>IF(LEFT($D$37,1)="M","kg","lb")</f>
        <v>kg</v>
      </c>
      <c r="F52" s="36">
        <f>IF(LEFT($D$37,1)="M",1,0.45)*D52</f>
        <v>0</v>
      </c>
      <c r="G52" s="37"/>
      <c r="H52" s="38"/>
      <c r="I52" s="38"/>
      <c r="J52" s="37"/>
      <c r="K52" s="37"/>
      <c r="L52" s="305"/>
      <c r="M52" s="323"/>
      <c r="N52" s="324"/>
      <c r="O52" s="325"/>
      <c r="P52" s="231"/>
      <c r="Q52" s="231"/>
      <c r="R52" s="231"/>
      <c r="S52" s="231"/>
    </row>
    <row r="53" spans="1:19">
      <c r="A53" s="39"/>
      <c r="B53" s="37"/>
      <c r="C53" s="38"/>
      <c r="D53" s="40"/>
      <c r="E53" s="41"/>
      <c r="F53" s="36"/>
      <c r="G53" s="238"/>
      <c r="H53" s="294"/>
      <c r="I53" s="294"/>
      <c r="J53" s="295"/>
      <c r="K53" s="238"/>
      <c r="L53" s="231"/>
      <c r="M53" s="326"/>
      <c r="N53" s="258"/>
      <c r="O53" s="325"/>
      <c r="P53" s="231"/>
      <c r="Q53" s="231"/>
      <c r="R53" s="231"/>
      <c r="S53" s="231"/>
    </row>
    <row r="54" spans="1:19" ht="14" thickBot="1">
      <c r="A54" s="400" t="str">
        <f ca="1">Text!I17</f>
        <v>Opsiyonel dış yük</v>
      </c>
      <c r="B54" s="401"/>
      <c r="C54" s="401"/>
      <c r="D54" s="401"/>
      <c r="E54" s="402"/>
      <c r="F54" s="36"/>
      <c r="G54" s="231"/>
      <c r="H54" s="231"/>
      <c r="I54" s="231"/>
      <c r="J54" s="231"/>
      <c r="K54" s="296"/>
      <c r="L54" s="231"/>
      <c r="M54" s="231"/>
      <c r="N54" s="231"/>
      <c r="O54" s="231"/>
      <c r="P54" s="231"/>
      <c r="Q54" s="231"/>
      <c r="R54" s="231"/>
      <c r="S54" s="231"/>
    </row>
    <row r="55" spans="1:19" ht="12.5" customHeight="1" thickTop="1">
      <c r="A55" s="244"/>
      <c r="B55" s="245" t="str">
        <f ca="1">Text!I18</f>
        <v>Eksenel yük</v>
      </c>
      <c r="C55" s="246" t="s">
        <v>0</v>
      </c>
      <c r="D55" s="123"/>
      <c r="E55" s="254" t="str">
        <f>IF(LEFT($D$37,1)="M","N","lb")</f>
        <v>N</v>
      </c>
      <c r="F55" s="36">
        <f>IF(LEFT($D$37,1)="M",1,4.4482)*D55</f>
        <v>0</v>
      </c>
      <c r="G55" s="394" t="str">
        <f ca="1">Text!I28</f>
        <v>Önerilen model</v>
      </c>
      <c r="H55" s="395"/>
      <c r="I55" s="409" t="str">
        <f ca="1">IF(ISERROR(Selection!AJ253),"",IF(Selection!AJ253="","",Selection!AJ253&amp;LEFT(D42,1)&amp;LEFT(D43,1)&amp;LEFT(D44,1)))</f>
        <v>ITP 75C4EZCX</v>
      </c>
      <c r="J55" s="409"/>
      <c r="K55" s="410"/>
      <c r="L55" s="231"/>
      <c r="M55" s="231"/>
      <c r="N55" s="231"/>
      <c r="O55" s="231"/>
      <c r="P55" s="231"/>
      <c r="Q55" s="231"/>
      <c r="R55" s="231"/>
      <c r="S55" s="231"/>
    </row>
    <row r="56" spans="1:19" ht="14" thickBot="1">
      <c r="A56" s="248"/>
      <c r="B56" s="239" t="str">
        <f ca="1">Text!I20</f>
        <v>Yarı çap</v>
      </c>
      <c r="C56" s="240" t="s">
        <v>62</v>
      </c>
      <c r="D56" s="124"/>
      <c r="E56" s="255" t="str">
        <f>IF(LEFT($D$37,1)="M","mm","in")</f>
        <v>mm</v>
      </c>
      <c r="F56" s="36">
        <f>IF(LEFT($D$37,1)="M",1,25.4)*D56</f>
        <v>0</v>
      </c>
      <c r="G56" s="396"/>
      <c r="H56" s="397"/>
      <c r="I56" s="411"/>
      <c r="J56" s="411"/>
      <c r="K56" s="412"/>
      <c r="L56" s="231"/>
      <c r="M56" s="231"/>
      <c r="N56" s="231"/>
      <c r="O56" s="231"/>
      <c r="P56" s="231"/>
      <c r="Q56" s="231"/>
      <c r="R56" s="231"/>
      <c r="S56" s="231"/>
    </row>
    <row r="57" spans="1:19" ht="14.5" thickTop="1" thickBot="1">
      <c r="A57" s="247"/>
      <c r="B57" s="237" t="str">
        <f ca="1">Text!I19</f>
        <v>Radyal yük</v>
      </c>
      <c r="C57" s="238" t="s">
        <v>6</v>
      </c>
      <c r="D57" s="125"/>
      <c r="E57" s="256" t="str">
        <f>IF(LEFT($D$37,1)="M","N","lb")</f>
        <v>N</v>
      </c>
      <c r="F57" s="36">
        <f>IF(LEFT($D$37,1)="M",1,4.4482)*D57</f>
        <v>0</v>
      </c>
      <c r="G57" s="231"/>
      <c r="H57" s="231"/>
      <c r="I57" s="231"/>
      <c r="J57" s="231"/>
      <c r="K57" s="231"/>
      <c r="L57" s="231"/>
      <c r="M57" s="231"/>
      <c r="N57" s="231"/>
      <c r="O57" s="231"/>
      <c r="P57" s="231"/>
      <c r="Q57" s="231"/>
      <c r="R57" s="231"/>
      <c r="S57" s="231"/>
    </row>
    <row r="58" spans="1:19">
      <c r="A58" s="248"/>
      <c r="B58" s="252" t="str">
        <f ca="1">Text!I20</f>
        <v>Yarı çap</v>
      </c>
      <c r="C58" s="240" t="s">
        <v>57</v>
      </c>
      <c r="D58" s="126"/>
      <c r="E58" s="255" t="str">
        <f>IF(LEFT($D$37,1)="M","mm","in")</f>
        <v>mm</v>
      </c>
      <c r="F58" s="36">
        <f>IF(LEFT($D$37,1)="M",1,25.4)*D58</f>
        <v>0</v>
      </c>
      <c r="G58" s="413" t="str">
        <f ca="1">Text!I29&amp;" "</f>
        <v xml:space="preserve">Tekrarlama hassasiyeti </v>
      </c>
      <c r="H58" s="414"/>
      <c r="I58" s="414"/>
      <c r="J58" s="297" t="str">
        <f ca="1">IF(ISERROR(Selection!AK253),"",Selection!AK253)</f>
        <v>± 0,031</v>
      </c>
      <c r="K58" s="298" t="s">
        <v>339</v>
      </c>
      <c r="L58" s="305"/>
      <c r="M58" s="231"/>
      <c r="N58" s="231"/>
      <c r="O58" s="231"/>
      <c r="P58" s="231"/>
      <c r="Q58" s="231"/>
      <c r="R58" s="231"/>
      <c r="S58" s="231"/>
    </row>
    <row r="59" spans="1:19" ht="14" thickBot="1">
      <c r="A59" s="253"/>
      <c r="B59" s="232" t="str">
        <f ca="1">Text!I21</f>
        <v>Devirme momenti</v>
      </c>
      <c r="C59" s="233" t="s">
        <v>222</v>
      </c>
      <c r="D59" s="127"/>
      <c r="E59" s="257" t="str">
        <f>IF(LEFT($D$37,1)="M","N m","lb-in")</f>
        <v>N m</v>
      </c>
      <c r="F59" s="36">
        <f>IF(LEFT($D$37,1)="M",1,0.113)*D59</f>
        <v>0</v>
      </c>
      <c r="G59" s="415" t="str">
        <f ca="1">Text!I35</f>
        <v>Emniyetli durma zamanı</v>
      </c>
      <c r="H59" s="416"/>
      <c r="I59" s="416"/>
      <c r="J59" s="299">
        <f ca="1">IF(ISERROR(Selection!AL253),"",Selection!AL253)</f>
        <v>0</v>
      </c>
      <c r="K59" s="300" t="s">
        <v>295</v>
      </c>
      <c r="L59" s="305"/>
      <c r="M59" s="231"/>
      <c r="N59" s="231"/>
      <c r="O59" s="231"/>
      <c r="P59" s="231"/>
      <c r="Q59" s="231"/>
      <c r="R59" s="231"/>
      <c r="S59" s="231"/>
    </row>
    <row r="60" spans="1:19" ht="15">
      <c r="A60" s="388"/>
      <c r="B60" s="389"/>
      <c r="C60" s="389"/>
      <c r="D60" s="99"/>
      <c r="E60" s="100"/>
      <c r="F60" s="36"/>
      <c r="G60" s="27"/>
      <c r="J60" s="43"/>
      <c r="K60" s="27"/>
      <c r="L60" s="305"/>
      <c r="M60" s="231"/>
      <c r="N60" s="231"/>
      <c r="O60" s="231"/>
      <c r="P60" s="231"/>
      <c r="Q60" s="231"/>
      <c r="R60" s="231"/>
      <c r="S60" s="231"/>
    </row>
    <row r="61" spans="1:19" ht="15">
      <c r="A61" s="301"/>
      <c r="B61" s="302"/>
      <c r="C61" s="294"/>
      <c r="D61" s="303"/>
      <c r="E61" s="304"/>
      <c r="F61" s="305"/>
      <c r="G61" s="258"/>
      <c r="H61" s="231"/>
      <c r="I61" s="306"/>
      <c r="J61" s="258"/>
      <c r="K61" s="305"/>
    </row>
    <row r="62" spans="1:19" ht="15">
      <c r="A62" s="301"/>
      <c r="B62" s="302"/>
      <c r="C62" s="294"/>
      <c r="D62" s="303"/>
      <c r="E62" s="304"/>
      <c r="F62" s="231"/>
      <c r="G62" s="258"/>
      <c r="H62" s="231"/>
      <c r="I62" s="306"/>
      <c r="J62" s="258"/>
      <c r="K62" s="305"/>
    </row>
    <row r="63" spans="1:19" ht="15">
      <c r="A63" s="301"/>
      <c r="B63" s="302"/>
      <c r="C63" s="294"/>
      <c r="D63" s="307"/>
      <c r="E63" s="304"/>
      <c r="F63" s="305"/>
      <c r="G63" s="258"/>
      <c r="H63" s="231"/>
      <c r="I63" s="306"/>
      <c r="J63" s="258"/>
      <c r="K63" s="305"/>
    </row>
    <row r="64" spans="1:19" ht="15">
      <c r="A64" s="301"/>
      <c r="B64" s="302"/>
      <c r="C64" s="294"/>
      <c r="D64" s="307"/>
      <c r="E64" s="308"/>
      <c r="F64" s="305"/>
      <c r="G64" s="258"/>
      <c r="H64" s="231"/>
      <c r="I64" s="306"/>
      <c r="J64" s="258"/>
      <c r="K64" s="305"/>
    </row>
    <row r="65" spans="1:11">
      <c r="A65" s="309"/>
      <c r="B65" s="236"/>
      <c r="C65" s="310"/>
      <c r="D65" s="311"/>
      <c r="E65" s="312"/>
      <c r="F65" s="305"/>
      <c r="G65" s="231"/>
      <c r="H65" s="231"/>
      <c r="I65" s="231"/>
      <c r="J65" s="231"/>
      <c r="K65" s="231"/>
    </row>
    <row r="66" spans="1:11">
      <c r="A66" s="236"/>
      <c r="B66" s="236" t="str">
        <f>"Rev. 6.2 - 08/2021 - "&amp;CHOOSE('Company name'!B28,"1111","1111","1111","1111","1111")</f>
        <v>Rev. 6.2 - 08/2021 - 1111</v>
      </c>
      <c r="C66" s="310"/>
      <c r="D66" s="313" t="str">
        <f>RIGHT(B66,4)</f>
        <v>1111</v>
      </c>
      <c r="E66" s="314"/>
      <c r="F66" s="231"/>
      <c r="G66" s="231"/>
      <c r="H66" s="231"/>
      <c r="I66" s="231"/>
      <c r="J66" s="231"/>
      <c r="K66" s="231"/>
    </row>
    <row r="67" spans="1:11">
      <c r="A67" s="231"/>
      <c r="B67" s="231"/>
      <c r="C67" s="231"/>
      <c r="D67" s="231"/>
      <c r="E67" s="315"/>
      <c r="F67" s="231"/>
      <c r="G67" s="231"/>
      <c r="H67" s="231"/>
      <c r="I67" s="231"/>
      <c r="J67" s="231"/>
      <c r="K67" s="231"/>
    </row>
  </sheetData>
  <sheetProtection sheet="1" objects="1" scenarios="1" formatColumns="0"/>
  <mergeCells count="19">
    <mergeCell ref="B2:I2"/>
    <mergeCell ref="B3:I3"/>
    <mergeCell ref="B4:I4"/>
    <mergeCell ref="A60:C60"/>
    <mergeCell ref="D7:E7"/>
    <mergeCell ref="F7:K7"/>
    <mergeCell ref="F8:K8"/>
    <mergeCell ref="F9:G9"/>
    <mergeCell ref="G55:H56"/>
    <mergeCell ref="D35:E35"/>
    <mergeCell ref="A54:E54"/>
    <mergeCell ref="I51:J51"/>
    <mergeCell ref="A46:E46"/>
    <mergeCell ref="G47:J47"/>
    <mergeCell ref="I55:K56"/>
    <mergeCell ref="G58:I58"/>
    <mergeCell ref="G59:I59"/>
    <mergeCell ref="A7:C9"/>
    <mergeCell ref="D8:E8"/>
  </mergeCells>
  <phoneticPr fontId="1" type="noConversion"/>
  <conditionalFormatting sqref="G47:J47">
    <cfRule type="expression" dxfId="9" priority="5">
      <formula>(L47="0")</formula>
    </cfRule>
  </conditionalFormatting>
  <conditionalFormatting sqref="A60:C60">
    <cfRule type="expression" dxfId="8" priority="4">
      <formula>($E$60="0")</formula>
    </cfRule>
  </conditionalFormatting>
  <conditionalFormatting sqref="I49:K50">
    <cfRule type="expression" dxfId="7" priority="3">
      <formula>($L$47="0")</formula>
    </cfRule>
  </conditionalFormatting>
  <conditionalFormatting sqref="K51">
    <cfRule type="expression" dxfId="6" priority="2">
      <formula>($L$47="0")</formula>
    </cfRule>
  </conditionalFormatting>
  <conditionalFormatting sqref="D47:D52">
    <cfRule type="expression" dxfId="5" priority="1">
      <formula>($L$47="0")</formula>
    </cfRule>
  </conditionalFormatting>
  <dataValidations count="10">
    <dataValidation type="list" allowBlank="1" showInputMessage="1" showErrorMessage="1" errorTitle="ERROR" error="Please select a value in the list A, B, C, D, E, F" sqref="D39" xr:uid="{00000000-0002-0000-0200-000000000000}">
      <formula1>$N$16:$N$26</formula1>
    </dataValidation>
    <dataValidation type="list" allowBlank="1" showInputMessage="1" showErrorMessage="1" errorTitle="ERROR" error="Please select a value of 50 Hz or 60 Hz" sqref="D40" xr:uid="{00000000-0002-0000-0200-000001000000}">
      <formula1>"50,60"</formula1>
    </dataValidation>
    <dataValidation type="list" allowBlank="1" showInputMessage="1" showErrorMessage="1" errorTitle="ERROR" error="Please select a value in the list 1, 2, 3, 4, 5, 6, 8, 10, 12" sqref="D38" xr:uid="{00000000-0002-0000-0200-000002000000}">
      <formula1>$M$16:$M$23</formula1>
    </dataValidation>
    <dataValidation type="list" allowBlank="1" showInputMessage="1" showErrorMessage="1" sqref="D37" xr:uid="{00000000-0002-0000-0200-000003000000}">
      <formula1>"Metric,Imperial"</formula1>
    </dataValidation>
    <dataValidation type="list" allowBlank="1" showInputMessage="1" showErrorMessage="1" sqref="D35:E35" xr:uid="{00000000-0002-0000-0200-000004000000}">
      <formula1>"1-ENGLISH,2-ITALIANO,3-ESPAÑOL,4-FRANÇAIS,5-DEUTSCH,6-CHINESE,7-TÜRKÇE"</formula1>
    </dataValidation>
    <dataValidation type="list" allowBlank="1" showInputMessage="1" showErrorMessage="1" sqref="K47" xr:uid="{00000000-0002-0000-0200-000005000000}">
      <formula1>$O$16:$O$17</formula1>
    </dataValidation>
    <dataValidation type="list" allowBlank="1" showInputMessage="1" showErrorMessage="1" sqref="D42" xr:uid="{00000000-0002-0000-0200-000006000000}">
      <formula1>$O$19:$O$20</formula1>
    </dataValidation>
    <dataValidation type="list" allowBlank="1" showInputMessage="1" showErrorMessage="1" errorTitle="ERROR" error="Please select a value of 50 Hz or 60 Hz" sqref="D41" xr:uid="{00000000-0002-0000-0200-000007000000}">
      <formula1>"-,SEW"</formula1>
    </dataValidation>
    <dataValidation type="list" allowBlank="1" showInputMessage="1" showErrorMessage="1" sqref="D44" xr:uid="{00000000-0002-0000-0200-000008000000}">
      <formula1>P16:P17</formula1>
    </dataValidation>
    <dataValidation type="list" allowBlank="1" showInputMessage="1" showErrorMessage="1" sqref="D43" xr:uid="{258F1F01-9DBF-6F4F-96B9-78E269D9D96D}">
      <formula1>"P-Proxy,C-Ecam"</formula1>
    </dataValidation>
  </dataValidations>
  <pageMargins left="0.11" right="0.08" top="0.22" bottom="0.17" header="0.17" footer="0.13"/>
  <pageSetup paperSize="9" scale="88" orientation="portrait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N277"/>
  <sheetViews>
    <sheetView zoomScale="230" zoomScaleNormal="230" zoomScalePageLayoutView="200" workbookViewId="0">
      <selection activeCell="S248" sqref="S248"/>
    </sheetView>
  </sheetViews>
  <sheetFormatPr defaultColWidth="8.81640625" defaultRowHeight="14" customHeight="1"/>
  <cols>
    <col min="1" max="1" width="2.81640625" style="140" bestFit="1" customWidth="1"/>
    <col min="2" max="2" width="7" style="144" bestFit="1" customWidth="1"/>
    <col min="3" max="3" width="5.36328125" style="138" customWidth="1"/>
    <col min="4" max="4" width="4.1796875" style="138" customWidth="1"/>
    <col min="5" max="5" width="4" style="138" customWidth="1"/>
    <col min="6" max="6" width="5.453125" style="138" customWidth="1"/>
    <col min="7" max="7" width="6.453125" style="138" customWidth="1"/>
    <col min="8" max="8" width="7.453125" style="138" bestFit="1" customWidth="1"/>
    <col min="9" max="9" width="4.6328125" style="138" customWidth="1"/>
    <col min="10" max="10" width="4.453125" style="138" customWidth="1"/>
    <col min="11" max="12" width="5.1796875" style="138" customWidth="1"/>
    <col min="13" max="13" width="5.1796875" style="140" customWidth="1"/>
    <col min="14" max="14" width="6.6328125" style="140" customWidth="1"/>
    <col min="15" max="15" width="7.453125" style="143" customWidth="1"/>
    <col min="16" max="16" width="5.36328125" style="143" bestFit="1" customWidth="1"/>
    <col min="17" max="17" width="4.6328125" style="143" bestFit="1" customWidth="1"/>
    <col min="18" max="18" width="6.36328125" style="143" bestFit="1" customWidth="1"/>
    <col min="19" max="19" width="6" style="143" bestFit="1" customWidth="1"/>
    <col min="20" max="20" width="6.36328125" style="143" bestFit="1" customWidth="1"/>
    <col min="21" max="21" width="4.6328125" style="143" bestFit="1" customWidth="1"/>
    <col min="22" max="22" width="5.1796875" style="143" customWidth="1"/>
    <col min="23" max="23" width="4.81640625" style="143" bestFit="1" customWidth="1"/>
    <col min="24" max="24" width="5" style="143" bestFit="1" customWidth="1"/>
    <col min="25" max="25" width="8.1796875" style="140" bestFit="1" customWidth="1"/>
    <col min="26" max="26" width="6.1796875" style="140" bestFit="1" customWidth="1"/>
    <col min="27" max="27" width="3.81640625" style="138" bestFit="1" customWidth="1"/>
    <col min="28" max="28" width="8.1796875" style="138" bestFit="1" customWidth="1"/>
    <col min="29" max="29" width="5.453125" style="138" bestFit="1" customWidth="1"/>
    <col min="30" max="30" width="5" style="138" bestFit="1" customWidth="1"/>
    <col min="31" max="31" width="7.1796875" style="138" bestFit="1" customWidth="1"/>
    <col min="32" max="32" width="4.36328125" style="138" customWidth="1"/>
    <col min="33" max="33" width="7.36328125" style="138" bestFit="1" customWidth="1"/>
    <col min="34" max="34" width="3.36328125" style="138" bestFit="1" customWidth="1"/>
    <col min="35" max="35" width="3.81640625" style="138" bestFit="1" customWidth="1"/>
    <col min="36" max="36" width="8.1796875" style="138" bestFit="1" customWidth="1"/>
    <col min="37" max="37" width="4.81640625" style="138" bestFit="1" customWidth="1"/>
    <col min="38" max="38" width="7" style="138" bestFit="1" customWidth="1"/>
    <col min="39" max="39" width="5.453125" style="138" bestFit="1" customWidth="1"/>
    <col min="40" max="40" width="5.36328125" style="138" customWidth="1"/>
    <col min="41" max="16384" width="8.81640625" style="138"/>
  </cols>
  <sheetData>
    <row r="1" spans="1:26" s="133" customFormat="1" thickBot="1">
      <c r="A1" s="131" t="s">
        <v>28</v>
      </c>
      <c r="B1" s="132" t="s">
        <v>29</v>
      </c>
      <c r="C1" s="328" t="s">
        <v>44</v>
      </c>
      <c r="D1" s="328" t="s">
        <v>45</v>
      </c>
      <c r="E1" s="328" t="s">
        <v>46</v>
      </c>
      <c r="F1" s="328" t="s">
        <v>47</v>
      </c>
      <c r="G1" s="328" t="s">
        <v>48</v>
      </c>
      <c r="H1" s="328" t="s">
        <v>49</v>
      </c>
      <c r="I1" s="328" t="s">
        <v>333</v>
      </c>
      <c r="J1" s="328" t="s">
        <v>334</v>
      </c>
      <c r="K1" s="328" t="s">
        <v>335</v>
      </c>
      <c r="L1" s="328" t="s">
        <v>336</v>
      </c>
      <c r="M1" s="328" t="s">
        <v>337</v>
      </c>
      <c r="N1" s="131" t="s">
        <v>40</v>
      </c>
      <c r="P1" s="329" t="s">
        <v>50</v>
      </c>
      <c r="Q1" s="329" t="s">
        <v>51</v>
      </c>
      <c r="R1" s="329" t="s">
        <v>52</v>
      </c>
      <c r="S1" s="329" t="s">
        <v>53</v>
      </c>
      <c r="T1" s="329" t="s">
        <v>54</v>
      </c>
      <c r="U1" s="329" t="s">
        <v>55</v>
      </c>
      <c r="V1" s="329" t="s">
        <v>333</v>
      </c>
      <c r="W1" s="329" t="s">
        <v>334</v>
      </c>
      <c r="X1" s="329" t="s">
        <v>335</v>
      </c>
      <c r="Y1" s="329" t="s">
        <v>336</v>
      </c>
      <c r="Z1" s="131" t="s">
        <v>337</v>
      </c>
    </row>
    <row r="2" spans="1:26" ht="13.5" hidden="1">
      <c r="A2" s="134">
        <v>2</v>
      </c>
      <c r="B2" s="135" t="s">
        <v>30</v>
      </c>
      <c r="C2" s="342">
        <v>0.31</v>
      </c>
      <c r="D2" s="342">
        <v>0.47</v>
      </c>
      <c r="E2" s="342">
        <v>1.17</v>
      </c>
      <c r="F2" s="342">
        <v>2.0099999999999998</v>
      </c>
      <c r="G2" s="342">
        <v>2.83</v>
      </c>
      <c r="H2" s="342">
        <v>3.69</v>
      </c>
      <c r="I2" s="342"/>
      <c r="J2" s="342"/>
      <c r="K2" s="342"/>
      <c r="L2" s="342"/>
      <c r="M2" s="342"/>
      <c r="N2" s="137">
        <v>37.5</v>
      </c>
      <c r="O2" s="137"/>
      <c r="P2" s="343">
        <v>0.22</v>
      </c>
      <c r="Q2" s="343">
        <v>0.32</v>
      </c>
      <c r="R2" s="343">
        <v>0.81</v>
      </c>
      <c r="S2" s="343">
        <v>1.39</v>
      </c>
      <c r="T2" s="343">
        <v>1.96</v>
      </c>
      <c r="U2" s="343">
        <v>2.56</v>
      </c>
      <c r="V2" s="343"/>
      <c r="W2" s="343"/>
      <c r="X2" s="343"/>
      <c r="Y2" s="343"/>
      <c r="Z2" s="343"/>
    </row>
    <row r="3" spans="1:26" ht="13.5" hidden="1">
      <c r="A3" s="134">
        <v>2</v>
      </c>
      <c r="B3" s="135" t="s">
        <v>31</v>
      </c>
      <c r="C3" s="342">
        <v>0.73</v>
      </c>
      <c r="D3" s="342">
        <v>1.1499999999999999</v>
      </c>
      <c r="E3" s="342">
        <v>2.64</v>
      </c>
      <c r="F3" s="342">
        <v>5.0199999999999996</v>
      </c>
      <c r="G3" s="342">
        <v>7.16</v>
      </c>
      <c r="H3" s="342">
        <v>8.86</v>
      </c>
      <c r="I3" s="342">
        <v>23.72</v>
      </c>
      <c r="J3" s="342">
        <v>35.53</v>
      </c>
      <c r="K3" s="342">
        <v>65.23</v>
      </c>
      <c r="L3" s="342">
        <v>121.71</v>
      </c>
      <c r="M3" s="342">
        <v>206.18</v>
      </c>
      <c r="N3" s="137">
        <v>50</v>
      </c>
      <c r="O3" s="137"/>
      <c r="P3" s="343">
        <v>0.51</v>
      </c>
      <c r="Q3" s="343">
        <v>0.8</v>
      </c>
      <c r="R3" s="343">
        <v>1.83</v>
      </c>
      <c r="S3" s="343">
        <v>3.48</v>
      </c>
      <c r="T3" s="343">
        <v>4.97</v>
      </c>
      <c r="U3" s="343">
        <v>6.15</v>
      </c>
      <c r="V3" s="343">
        <v>16.47</v>
      </c>
      <c r="W3" s="343">
        <v>24.67</v>
      </c>
      <c r="X3" s="343">
        <v>45.29</v>
      </c>
      <c r="Y3" s="343">
        <v>84.52</v>
      </c>
      <c r="Z3" s="343">
        <v>143.16999999999999</v>
      </c>
    </row>
    <row r="4" spans="1:26" ht="13.5" hidden="1">
      <c r="A4" s="134">
        <v>2</v>
      </c>
      <c r="B4" s="135" t="s">
        <v>32</v>
      </c>
      <c r="C4" s="342">
        <v>1.31</v>
      </c>
      <c r="D4" s="342">
        <v>2.29</v>
      </c>
      <c r="E4" s="342">
        <v>4.9000000000000004</v>
      </c>
      <c r="F4" s="342">
        <v>10.15</v>
      </c>
      <c r="G4" s="342">
        <v>13.55</v>
      </c>
      <c r="H4" s="342">
        <v>16.97</v>
      </c>
      <c r="I4" s="342">
        <v>48.85</v>
      </c>
      <c r="J4" s="342">
        <v>73.17</v>
      </c>
      <c r="K4" s="342">
        <v>134.34</v>
      </c>
      <c r="L4" s="342">
        <v>250.72</v>
      </c>
      <c r="M4" s="342">
        <v>406.14</v>
      </c>
      <c r="N4" s="137">
        <v>75</v>
      </c>
      <c r="O4" s="137"/>
      <c r="P4" s="343">
        <v>0.85</v>
      </c>
      <c r="Q4" s="343">
        <v>1.58</v>
      </c>
      <c r="R4" s="343">
        <v>3.39</v>
      </c>
      <c r="S4" s="343">
        <v>7.04</v>
      </c>
      <c r="T4" s="343">
        <v>9.4</v>
      </c>
      <c r="U4" s="343">
        <v>11.78</v>
      </c>
      <c r="V4" s="343">
        <v>33.92</v>
      </c>
      <c r="W4" s="343">
        <v>50.8</v>
      </c>
      <c r="X4" s="343">
        <v>93.28</v>
      </c>
      <c r="Y4" s="343">
        <v>174.1</v>
      </c>
      <c r="Z4" s="343">
        <v>282.02999999999997</v>
      </c>
    </row>
    <row r="5" spans="1:26" ht="13.5" hidden="1">
      <c r="A5" s="134">
        <v>2</v>
      </c>
      <c r="B5" s="135" t="s">
        <v>33</v>
      </c>
      <c r="C5" s="342">
        <v>2.2999999999999998</v>
      </c>
      <c r="D5" s="342">
        <v>4.26</v>
      </c>
      <c r="E5" s="342">
        <v>8.31</v>
      </c>
      <c r="F5" s="342">
        <v>18.22</v>
      </c>
      <c r="G5" s="342">
        <v>23.57</v>
      </c>
      <c r="H5" s="342">
        <v>31.29</v>
      </c>
      <c r="I5" s="342">
        <v>92.45</v>
      </c>
      <c r="J5" s="342">
        <v>137.29</v>
      </c>
      <c r="K5" s="342">
        <v>254.12</v>
      </c>
      <c r="L5" s="342">
        <v>495.84</v>
      </c>
      <c r="M5" s="342">
        <v>803.19</v>
      </c>
      <c r="N5" s="137">
        <v>100</v>
      </c>
      <c r="O5" s="137"/>
      <c r="P5" s="343">
        <v>1.6</v>
      </c>
      <c r="Q5" s="343">
        <v>2.96</v>
      </c>
      <c r="R5" s="343">
        <v>5.76</v>
      </c>
      <c r="S5" s="343">
        <v>12.65</v>
      </c>
      <c r="T5" s="343">
        <v>16.37</v>
      </c>
      <c r="U5" s="343">
        <v>21.72</v>
      </c>
      <c r="V5" s="343">
        <v>64.2</v>
      </c>
      <c r="W5" s="343">
        <v>95.34</v>
      </c>
      <c r="X5" s="343">
        <v>176.47</v>
      </c>
      <c r="Y5" s="343">
        <v>344.33</v>
      </c>
      <c r="Z5" s="343">
        <v>557.76</v>
      </c>
    </row>
    <row r="6" spans="1:26" ht="13.5" hidden="1">
      <c r="A6" s="134">
        <v>2</v>
      </c>
      <c r="B6" s="135" t="s">
        <v>34</v>
      </c>
      <c r="C6" s="342">
        <v>3.78</v>
      </c>
      <c r="D6" s="342">
        <v>9.01</v>
      </c>
      <c r="E6" s="342">
        <v>16.21</v>
      </c>
      <c r="F6" s="342">
        <v>38.49</v>
      </c>
      <c r="G6" s="342">
        <v>53.42</v>
      </c>
      <c r="H6" s="342">
        <v>69.010000000000005</v>
      </c>
      <c r="I6" s="342">
        <v>204.44</v>
      </c>
      <c r="J6" s="342">
        <v>258.24</v>
      </c>
      <c r="K6" s="342">
        <v>537.03</v>
      </c>
      <c r="L6" s="342">
        <v>941.39</v>
      </c>
      <c r="M6" s="342">
        <v>1710.7</v>
      </c>
      <c r="N6" s="137">
        <v>150</v>
      </c>
      <c r="O6" s="137"/>
      <c r="P6" s="343">
        <v>1.87</v>
      </c>
      <c r="Q6" s="343">
        <v>5.3</v>
      </c>
      <c r="R6" s="343">
        <v>11.03</v>
      </c>
      <c r="S6" s="343">
        <v>26.51</v>
      </c>
      <c r="T6" s="343">
        <v>36.869999999999997</v>
      </c>
      <c r="U6" s="343">
        <v>47.7</v>
      </c>
      <c r="V6" s="343">
        <v>141.75</v>
      </c>
      <c r="W6" s="343">
        <v>179.11</v>
      </c>
      <c r="X6" s="343">
        <v>372.71</v>
      </c>
      <c r="Y6" s="343">
        <v>653.52</v>
      </c>
      <c r="Z6" s="343">
        <v>1187.76</v>
      </c>
    </row>
    <row r="7" spans="1:26" ht="13.5" hidden="1">
      <c r="A7" s="134">
        <v>2</v>
      </c>
      <c r="B7" s="135" t="s">
        <v>35</v>
      </c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  <c r="N7" s="137">
        <v>225</v>
      </c>
      <c r="O7" s="137"/>
      <c r="P7" s="137"/>
      <c r="Q7" s="137"/>
      <c r="R7" s="137"/>
      <c r="S7" s="137"/>
      <c r="T7" s="137"/>
      <c r="U7" s="137"/>
      <c r="V7" s="137"/>
      <c r="W7" s="137"/>
      <c r="X7" s="137"/>
      <c r="Y7" s="137"/>
      <c r="Z7" s="137"/>
    </row>
    <row r="8" spans="1:26" ht="13.5" hidden="1">
      <c r="A8" s="134">
        <v>2</v>
      </c>
      <c r="B8" s="135" t="s">
        <v>214</v>
      </c>
      <c r="C8" s="342">
        <v>0.32</v>
      </c>
      <c r="D8" s="342">
        <v>0.47</v>
      </c>
      <c r="E8" s="342">
        <v>1.17</v>
      </c>
      <c r="F8" s="342">
        <v>2.0099999999999998</v>
      </c>
      <c r="G8" s="342">
        <v>2.83</v>
      </c>
      <c r="H8" s="342">
        <v>3.69</v>
      </c>
      <c r="I8" s="342"/>
      <c r="J8" s="342"/>
      <c r="K8" s="342"/>
      <c r="L8" s="342"/>
      <c r="M8" s="342"/>
      <c r="N8" s="137">
        <v>40</v>
      </c>
      <c r="O8" s="137"/>
      <c r="P8" s="343">
        <v>0.22</v>
      </c>
      <c r="Q8" s="343">
        <v>0.32</v>
      </c>
      <c r="R8" s="343">
        <v>0.81</v>
      </c>
      <c r="S8" s="343">
        <v>1.39</v>
      </c>
      <c r="T8" s="343">
        <v>1.96</v>
      </c>
      <c r="U8" s="343">
        <v>2.56</v>
      </c>
      <c r="V8" s="343"/>
      <c r="W8" s="343"/>
      <c r="X8" s="343"/>
      <c r="Y8" s="343"/>
      <c r="Z8" s="343"/>
    </row>
    <row r="9" spans="1:26" ht="13.5" hidden="1">
      <c r="A9" s="134">
        <v>2</v>
      </c>
      <c r="B9" s="135" t="s">
        <v>215</v>
      </c>
      <c r="C9" s="342">
        <v>0.73</v>
      </c>
      <c r="D9" s="342">
        <v>1.1499999999999999</v>
      </c>
      <c r="E9" s="342">
        <v>2.64</v>
      </c>
      <c r="F9" s="342">
        <v>5.0199999999999996</v>
      </c>
      <c r="G9" s="342">
        <v>7.16</v>
      </c>
      <c r="H9" s="342">
        <v>8.86</v>
      </c>
      <c r="I9" s="342">
        <v>29.49</v>
      </c>
      <c r="J9" s="342">
        <v>40.090000000000003</v>
      </c>
      <c r="K9" s="342">
        <v>81.09</v>
      </c>
      <c r="L9" s="342">
        <v>121.71</v>
      </c>
      <c r="M9" s="342">
        <v>220.82</v>
      </c>
      <c r="N9" s="137">
        <v>55</v>
      </c>
      <c r="O9" s="137"/>
      <c r="P9" s="343">
        <v>0.5</v>
      </c>
      <c r="Q9" s="343">
        <v>0.8</v>
      </c>
      <c r="R9" s="343">
        <v>1.83</v>
      </c>
      <c r="S9" s="343">
        <v>3.48</v>
      </c>
      <c r="T9" s="343">
        <v>4.97</v>
      </c>
      <c r="U9" s="343">
        <v>6.15</v>
      </c>
      <c r="V9" s="343">
        <v>20.48</v>
      </c>
      <c r="W9" s="343">
        <v>27.84</v>
      </c>
      <c r="X9" s="343">
        <v>56.31</v>
      </c>
      <c r="Y9" s="343">
        <v>84.52</v>
      </c>
      <c r="Z9" s="343">
        <v>153.34</v>
      </c>
    </row>
    <row r="10" spans="1:26" ht="13.5" hidden="1">
      <c r="A10" s="134">
        <v>2</v>
      </c>
      <c r="B10" s="135" t="s">
        <v>216</v>
      </c>
      <c r="C10" s="342">
        <v>1.31</v>
      </c>
      <c r="D10" s="342">
        <v>2.29</v>
      </c>
      <c r="E10" s="342">
        <v>4.8899999999999997</v>
      </c>
      <c r="F10" s="342">
        <v>10.15</v>
      </c>
      <c r="G10" s="342">
        <v>13.55</v>
      </c>
      <c r="H10" s="342">
        <v>16.97</v>
      </c>
      <c r="I10" s="342">
        <v>49.44</v>
      </c>
      <c r="J10" s="342">
        <v>74.05</v>
      </c>
      <c r="K10" s="342">
        <v>137.21</v>
      </c>
      <c r="L10" s="342">
        <v>250.71</v>
      </c>
      <c r="M10" s="342">
        <v>406.13</v>
      </c>
      <c r="N10" s="137">
        <v>80</v>
      </c>
      <c r="O10" s="137"/>
      <c r="P10" s="343">
        <v>0.84</v>
      </c>
      <c r="Q10" s="343">
        <v>1.58</v>
      </c>
      <c r="R10" s="343">
        <v>3.39</v>
      </c>
      <c r="S10" s="343">
        <v>7.04</v>
      </c>
      <c r="T10" s="343">
        <v>9.4</v>
      </c>
      <c r="U10" s="343">
        <v>11.77</v>
      </c>
      <c r="V10" s="343">
        <v>34.32</v>
      </c>
      <c r="W10" s="343">
        <v>51.42</v>
      </c>
      <c r="X10" s="343">
        <v>95.27</v>
      </c>
      <c r="Y10" s="343">
        <v>174.09</v>
      </c>
      <c r="Z10" s="343">
        <v>282.02999999999997</v>
      </c>
    </row>
    <row r="11" spans="1:26" ht="13.5" hidden="1">
      <c r="A11" s="134">
        <v>2</v>
      </c>
      <c r="B11" s="135" t="s">
        <v>217</v>
      </c>
      <c r="C11" s="342">
        <v>2.4700000000000002</v>
      </c>
      <c r="D11" s="342">
        <v>4.6500000000000004</v>
      </c>
      <c r="E11" s="342">
        <v>8.9600000000000009</v>
      </c>
      <c r="F11" s="342">
        <v>20.27</v>
      </c>
      <c r="G11" s="342">
        <v>31.22</v>
      </c>
      <c r="H11" s="342">
        <v>41.06</v>
      </c>
      <c r="I11" s="342">
        <v>106.12</v>
      </c>
      <c r="J11" s="342">
        <v>137.21</v>
      </c>
      <c r="K11" s="342">
        <v>284.38</v>
      </c>
      <c r="L11" s="342">
        <v>542.78</v>
      </c>
      <c r="M11" s="342">
        <v>985.75</v>
      </c>
      <c r="N11" s="137">
        <v>105</v>
      </c>
      <c r="O11" s="137"/>
      <c r="P11" s="343">
        <v>1.66</v>
      </c>
      <c r="Q11" s="343">
        <v>3.2</v>
      </c>
      <c r="R11" s="343">
        <v>6.19</v>
      </c>
      <c r="S11" s="343">
        <v>14.05</v>
      </c>
      <c r="T11" s="343">
        <v>21.65</v>
      </c>
      <c r="U11" s="343">
        <v>28.48</v>
      </c>
      <c r="V11" s="343">
        <v>73.67</v>
      </c>
      <c r="W11" s="343">
        <v>95.25</v>
      </c>
      <c r="X11" s="343">
        <v>197.46</v>
      </c>
      <c r="Y11" s="343">
        <v>376.9</v>
      </c>
      <c r="Z11" s="343">
        <v>684.52</v>
      </c>
    </row>
    <row r="12" spans="1:26" ht="13.5" hidden="1">
      <c r="A12" s="134">
        <v>2</v>
      </c>
      <c r="B12" s="135" t="s">
        <v>218</v>
      </c>
      <c r="C12" s="342">
        <v>8.76</v>
      </c>
      <c r="D12" s="342">
        <v>18.7</v>
      </c>
      <c r="E12" s="342">
        <v>34.42</v>
      </c>
      <c r="F12" s="342">
        <v>79.53</v>
      </c>
      <c r="G12" s="342">
        <v>108.94</v>
      </c>
      <c r="H12" s="342">
        <v>113.91</v>
      </c>
      <c r="I12" s="342">
        <v>398.77</v>
      </c>
      <c r="J12" s="342">
        <v>540.38</v>
      </c>
      <c r="K12" s="342">
        <v>1119.76</v>
      </c>
      <c r="L12" s="342">
        <v>1912.78</v>
      </c>
      <c r="M12" s="342">
        <v>3473.45</v>
      </c>
      <c r="N12" s="137">
        <v>157.5</v>
      </c>
      <c r="O12" s="137"/>
      <c r="P12" s="343">
        <v>5.87</v>
      </c>
      <c r="Q12" s="343">
        <v>10.57</v>
      </c>
      <c r="R12" s="343">
        <v>23.69</v>
      </c>
      <c r="S12" s="343">
        <v>55.02</v>
      </c>
      <c r="T12" s="343">
        <v>75.44</v>
      </c>
      <c r="U12" s="343">
        <v>78.89</v>
      </c>
      <c r="V12" s="343">
        <v>276.70999999999998</v>
      </c>
      <c r="W12" s="343">
        <v>375.05</v>
      </c>
      <c r="X12" s="343">
        <v>777.4</v>
      </c>
      <c r="Y12" s="343">
        <v>1328.11</v>
      </c>
      <c r="Z12" s="343">
        <v>2411.91</v>
      </c>
    </row>
    <row r="13" spans="1:26" ht="13.5" hidden="1">
      <c r="A13" s="134">
        <v>2</v>
      </c>
      <c r="B13" s="135" t="s">
        <v>219</v>
      </c>
      <c r="C13" s="342">
        <v>12.99</v>
      </c>
      <c r="D13" s="342">
        <v>26.9</v>
      </c>
      <c r="E13" s="342">
        <v>47.74</v>
      </c>
      <c r="F13" s="342">
        <v>111.69</v>
      </c>
      <c r="G13" s="342">
        <v>164.19</v>
      </c>
      <c r="H13" s="342">
        <v>198.76</v>
      </c>
      <c r="I13" s="342">
        <v>696.31</v>
      </c>
      <c r="J13" s="342">
        <v>980.36</v>
      </c>
      <c r="K13" s="342">
        <v>1935.85</v>
      </c>
      <c r="L13" s="342">
        <v>3374.73</v>
      </c>
      <c r="M13" s="342">
        <v>5885.65</v>
      </c>
      <c r="N13" s="137">
        <v>200</v>
      </c>
      <c r="O13" s="137"/>
      <c r="P13" s="343">
        <v>7.38</v>
      </c>
      <c r="Q13" s="343">
        <v>18.11</v>
      </c>
      <c r="R13" s="343">
        <v>32.58</v>
      </c>
      <c r="S13" s="343">
        <v>76.989999999999995</v>
      </c>
      <c r="T13" s="343">
        <v>113.45</v>
      </c>
      <c r="U13" s="343">
        <v>137.46</v>
      </c>
      <c r="V13" s="343">
        <v>482.98</v>
      </c>
      <c r="W13" s="343">
        <v>680.24</v>
      </c>
      <c r="X13" s="343">
        <v>1343.77</v>
      </c>
      <c r="Y13" s="343">
        <v>2342.9899999999998</v>
      </c>
      <c r="Z13" s="343">
        <v>4086.69</v>
      </c>
    </row>
    <row r="14" spans="1:26" ht="13.5" hidden="1">
      <c r="A14" s="134">
        <v>2</v>
      </c>
      <c r="B14" s="135" t="s">
        <v>220</v>
      </c>
      <c r="C14" s="342">
        <v>18.21</v>
      </c>
      <c r="D14" s="342">
        <v>33.6</v>
      </c>
      <c r="E14" s="342">
        <v>74.63</v>
      </c>
      <c r="F14" s="342">
        <v>171.8</v>
      </c>
      <c r="G14" s="342">
        <v>244.84</v>
      </c>
      <c r="H14" s="342">
        <v>317.64</v>
      </c>
      <c r="I14" s="342">
        <v>1058.9000000000001</v>
      </c>
      <c r="J14" s="342">
        <v>1550.32</v>
      </c>
      <c r="K14" s="342">
        <v>3066.4</v>
      </c>
      <c r="L14" s="342">
        <v>5385.64</v>
      </c>
      <c r="M14" s="342">
        <v>9274.61</v>
      </c>
      <c r="N14" s="137">
        <v>235</v>
      </c>
      <c r="O14" s="137"/>
      <c r="P14" s="343">
        <v>11.35</v>
      </c>
      <c r="Q14" s="343">
        <v>17.66</v>
      </c>
      <c r="R14" s="343">
        <v>50.13</v>
      </c>
      <c r="S14" s="343">
        <v>118.01</v>
      </c>
      <c r="T14" s="343">
        <v>168.73</v>
      </c>
      <c r="U14" s="343">
        <v>219.29</v>
      </c>
      <c r="V14" s="343">
        <v>734.05</v>
      </c>
      <c r="W14" s="343">
        <v>1075.31</v>
      </c>
      <c r="X14" s="343">
        <v>2128.15</v>
      </c>
      <c r="Y14" s="343">
        <v>3738.73</v>
      </c>
      <c r="Z14" s="343">
        <v>6439.4</v>
      </c>
    </row>
    <row r="15" spans="1:26" ht="13.5" hidden="1">
      <c r="A15" s="134">
        <v>2</v>
      </c>
      <c r="B15" s="135" t="s">
        <v>480</v>
      </c>
      <c r="C15" s="136">
        <v>1.06</v>
      </c>
      <c r="D15" s="136">
        <v>2.74</v>
      </c>
      <c r="E15" s="136">
        <v>3.43</v>
      </c>
      <c r="F15" s="136">
        <v>8.9499999999999993</v>
      </c>
      <c r="G15" s="136">
        <v>11.67</v>
      </c>
      <c r="H15" s="136">
        <v>0</v>
      </c>
      <c r="I15" s="136">
        <v>0</v>
      </c>
      <c r="J15" s="136">
        <v>0</v>
      </c>
      <c r="K15" s="136">
        <v>0</v>
      </c>
      <c r="L15" s="136">
        <v>0</v>
      </c>
      <c r="M15" s="136">
        <v>0</v>
      </c>
      <c r="N15" s="137">
        <v>55</v>
      </c>
      <c r="O15" s="137"/>
      <c r="P15" s="137">
        <v>0.6</v>
      </c>
      <c r="Q15" s="137">
        <v>1.57</v>
      </c>
      <c r="R15" s="137">
        <v>1.99</v>
      </c>
      <c r="S15" s="137">
        <v>5.18</v>
      </c>
      <c r="T15" s="137">
        <v>6.7</v>
      </c>
      <c r="U15" s="137">
        <v>0</v>
      </c>
      <c r="V15" s="137">
        <v>0</v>
      </c>
      <c r="W15" s="137">
        <v>0</v>
      </c>
      <c r="X15" s="137">
        <v>0</v>
      </c>
      <c r="Y15" s="137">
        <v>0</v>
      </c>
      <c r="Z15" s="137">
        <v>0</v>
      </c>
    </row>
    <row r="16" spans="1:26" ht="13.5" hidden="1">
      <c r="A16" s="134">
        <v>2</v>
      </c>
      <c r="B16" s="135" t="s">
        <v>481</v>
      </c>
      <c r="C16" s="136">
        <v>2.2999999999999998</v>
      </c>
      <c r="D16" s="136">
        <v>4.2699999999999996</v>
      </c>
      <c r="E16" s="136">
        <v>5.39</v>
      </c>
      <c r="F16" s="136">
        <v>20</v>
      </c>
      <c r="G16" s="136">
        <v>22.28</v>
      </c>
      <c r="H16" s="136">
        <v>27.75</v>
      </c>
      <c r="I16" s="136">
        <v>0</v>
      </c>
      <c r="J16" s="136">
        <v>0</v>
      </c>
      <c r="K16" s="136">
        <v>0</v>
      </c>
      <c r="L16" s="136">
        <v>0</v>
      </c>
      <c r="M16" s="136">
        <v>0</v>
      </c>
      <c r="N16" s="137">
        <v>80</v>
      </c>
      <c r="O16" s="137"/>
      <c r="P16" s="137">
        <v>1.32</v>
      </c>
      <c r="Q16" s="137">
        <v>2.48</v>
      </c>
      <c r="R16" s="137">
        <v>3.11</v>
      </c>
      <c r="S16" s="137">
        <v>11.55</v>
      </c>
      <c r="T16" s="137">
        <v>12.8</v>
      </c>
      <c r="U16" s="137">
        <v>15.95</v>
      </c>
      <c r="V16" s="137">
        <v>0</v>
      </c>
      <c r="W16" s="137">
        <v>0</v>
      </c>
      <c r="X16" s="137">
        <v>0</v>
      </c>
      <c r="Y16" s="137">
        <v>0</v>
      </c>
      <c r="Z16" s="137">
        <v>0</v>
      </c>
    </row>
    <row r="17" spans="1:26" ht="13.5" hidden="1">
      <c r="A17" s="134">
        <v>2</v>
      </c>
      <c r="B17" s="135" t="s">
        <v>403</v>
      </c>
      <c r="C17" s="136">
        <v>3.88</v>
      </c>
      <c r="D17" s="136">
        <v>6.52</v>
      </c>
      <c r="E17" s="136">
        <v>12.4</v>
      </c>
      <c r="F17" s="136">
        <v>21.11</v>
      </c>
      <c r="G17" s="136">
        <v>48.96</v>
      </c>
      <c r="H17" s="136">
        <v>52.04</v>
      </c>
      <c r="I17" s="136">
        <v>105.14</v>
      </c>
      <c r="J17" s="136">
        <v>178.25</v>
      </c>
      <c r="K17" s="136">
        <v>0</v>
      </c>
      <c r="L17" s="136">
        <v>0</v>
      </c>
      <c r="M17" s="136">
        <v>0</v>
      </c>
      <c r="N17" s="137">
        <v>105</v>
      </c>
      <c r="O17" s="137"/>
      <c r="P17" s="137">
        <v>2.2400000000000002</v>
      </c>
      <c r="Q17" s="137">
        <v>3.77</v>
      </c>
      <c r="R17" s="137">
        <v>7.17</v>
      </c>
      <c r="S17" s="137">
        <v>12.25</v>
      </c>
      <c r="T17" s="137">
        <v>28.27</v>
      </c>
      <c r="U17" s="137">
        <v>30.16</v>
      </c>
      <c r="V17" s="137">
        <v>60.98</v>
      </c>
      <c r="W17" s="137">
        <v>103.15</v>
      </c>
      <c r="X17" s="137">
        <v>0</v>
      </c>
      <c r="Y17" s="137">
        <v>0</v>
      </c>
      <c r="Z17" s="137">
        <v>0</v>
      </c>
    </row>
    <row r="18" spans="1:26" ht="13.5" hidden="1">
      <c r="A18" s="134">
        <v>2</v>
      </c>
      <c r="B18" s="135" t="s">
        <v>404</v>
      </c>
      <c r="C18" s="136">
        <v>13.81</v>
      </c>
      <c r="D18" s="136">
        <v>27.64</v>
      </c>
      <c r="E18" s="136">
        <v>58.95</v>
      </c>
      <c r="F18" s="136">
        <v>92.19</v>
      </c>
      <c r="G18" s="136">
        <v>176.42</v>
      </c>
      <c r="H18" s="136">
        <v>212.29</v>
      </c>
      <c r="I18" s="136">
        <v>368.74</v>
      </c>
      <c r="J18" s="136">
        <v>524.82000000000005</v>
      </c>
      <c r="K18" s="136">
        <v>1101.45</v>
      </c>
      <c r="L18" s="136">
        <v>793.04</v>
      </c>
      <c r="M18" s="136">
        <v>0</v>
      </c>
      <c r="N18" s="137">
        <v>157.5</v>
      </c>
      <c r="O18" s="137"/>
      <c r="P18" s="137">
        <v>8</v>
      </c>
      <c r="Q18" s="137">
        <v>15.99</v>
      </c>
      <c r="R18" s="137">
        <v>34.14</v>
      </c>
      <c r="S18" s="137">
        <v>53.39</v>
      </c>
      <c r="T18" s="137">
        <v>102.04</v>
      </c>
      <c r="U18" s="137">
        <v>122.72</v>
      </c>
      <c r="V18" s="137">
        <v>213.55</v>
      </c>
      <c r="W18" s="137">
        <v>303.62</v>
      </c>
      <c r="X18" s="137">
        <v>637.41</v>
      </c>
      <c r="Y18" s="137">
        <v>458.4</v>
      </c>
      <c r="Z18" s="137">
        <v>0</v>
      </c>
    </row>
    <row r="19" spans="1:26" ht="13.5" hidden="1">
      <c r="A19" s="134">
        <v>2</v>
      </c>
      <c r="B19" s="135" t="s">
        <v>405</v>
      </c>
      <c r="C19" s="136">
        <v>11.47</v>
      </c>
      <c r="D19" s="136">
        <v>54.81</v>
      </c>
      <c r="E19" s="136">
        <v>97.25</v>
      </c>
      <c r="F19" s="136">
        <v>182.56</v>
      </c>
      <c r="G19" s="136">
        <v>262.77999999999997</v>
      </c>
      <c r="H19" s="136">
        <v>424.57</v>
      </c>
      <c r="I19" s="136">
        <v>627.25</v>
      </c>
      <c r="J19" s="136">
        <v>1069.47</v>
      </c>
      <c r="K19" s="136">
        <v>2204.6799999999998</v>
      </c>
      <c r="L19" s="136">
        <v>1524.19</v>
      </c>
      <c r="M19" s="136">
        <v>0</v>
      </c>
      <c r="N19" s="137">
        <v>200</v>
      </c>
      <c r="O19" s="137"/>
      <c r="P19" s="137">
        <v>6.63</v>
      </c>
      <c r="Q19" s="137">
        <v>31.71</v>
      </c>
      <c r="R19" s="137">
        <v>56.29</v>
      </c>
      <c r="S19" s="137">
        <v>105.63</v>
      </c>
      <c r="T19" s="137">
        <v>151.94</v>
      </c>
      <c r="U19" s="137">
        <v>245.7</v>
      </c>
      <c r="V19" s="137">
        <v>362.99</v>
      </c>
      <c r="W19" s="137">
        <v>618.91</v>
      </c>
      <c r="X19" s="137">
        <v>1276.06</v>
      </c>
      <c r="Y19" s="137">
        <v>881.23</v>
      </c>
      <c r="Z19" s="137">
        <v>0</v>
      </c>
    </row>
    <row r="20" spans="1:26" ht="13.5" hidden="1">
      <c r="A20" s="134">
        <v>2</v>
      </c>
      <c r="B20" s="135" t="s">
        <v>406</v>
      </c>
      <c r="C20" s="136">
        <v>19.71</v>
      </c>
      <c r="D20" s="136">
        <v>78.62</v>
      </c>
      <c r="E20" s="136">
        <v>172.18</v>
      </c>
      <c r="F20" s="136">
        <v>447.95</v>
      </c>
      <c r="G20" s="136">
        <v>668.7</v>
      </c>
      <c r="H20" s="136">
        <v>688.72</v>
      </c>
      <c r="I20" s="136">
        <v>1341.86</v>
      </c>
      <c r="J20" s="136">
        <v>2138.9499999999998</v>
      </c>
      <c r="K20" s="136">
        <v>3234.83</v>
      </c>
      <c r="L20" s="136">
        <v>5731.72</v>
      </c>
      <c r="M20" s="136">
        <v>0</v>
      </c>
      <c r="N20" s="137">
        <v>235</v>
      </c>
      <c r="O20" s="137"/>
      <c r="P20" s="137">
        <v>11.41</v>
      </c>
      <c r="Q20" s="137">
        <v>45.5</v>
      </c>
      <c r="R20" s="137">
        <v>99.62</v>
      </c>
      <c r="S20" s="137">
        <v>259.16000000000003</v>
      </c>
      <c r="T20" s="137">
        <v>386.82</v>
      </c>
      <c r="U20" s="137">
        <v>398.48</v>
      </c>
      <c r="V20" s="137">
        <v>776.54</v>
      </c>
      <c r="W20" s="137">
        <v>1237.82</v>
      </c>
      <c r="X20" s="137">
        <v>1871.39</v>
      </c>
      <c r="Y20" s="137">
        <v>3318.14</v>
      </c>
      <c r="Z20" s="137">
        <v>0</v>
      </c>
    </row>
    <row r="21" spans="1:26" ht="13.5" hidden="1">
      <c r="A21" s="134">
        <v>2</v>
      </c>
      <c r="B21" s="135" t="s">
        <v>482</v>
      </c>
      <c r="C21" s="139">
        <v>70.11</v>
      </c>
      <c r="D21" s="139">
        <v>144.88999999999999</v>
      </c>
      <c r="E21" s="139">
        <v>289.67</v>
      </c>
      <c r="F21" s="139">
        <v>599.04</v>
      </c>
      <c r="G21" s="139">
        <v>882.62</v>
      </c>
      <c r="H21" s="139">
        <v>1152.46</v>
      </c>
      <c r="I21" s="136">
        <v>2501.69</v>
      </c>
      <c r="J21" s="136">
        <v>3922.51</v>
      </c>
      <c r="K21" s="136">
        <v>5881.51</v>
      </c>
      <c r="L21" s="136">
        <v>11466.8</v>
      </c>
      <c r="M21" s="136">
        <v>0</v>
      </c>
      <c r="N21" s="137">
        <v>300</v>
      </c>
      <c r="O21" s="137"/>
      <c r="P21" s="137">
        <v>40.56</v>
      </c>
      <c r="Q21" s="137">
        <v>83.85</v>
      </c>
      <c r="R21" s="137">
        <v>167.61</v>
      </c>
      <c r="S21" s="137">
        <v>346.69</v>
      </c>
      <c r="T21" s="137">
        <v>510.72</v>
      </c>
      <c r="U21" s="137">
        <v>666.85</v>
      </c>
      <c r="V21" s="137">
        <v>1456.47</v>
      </c>
      <c r="W21" s="137">
        <v>2270.1</v>
      </c>
      <c r="X21" s="137">
        <v>3403.65</v>
      </c>
      <c r="Y21" s="137">
        <v>6636.27</v>
      </c>
      <c r="Z21" s="137">
        <v>0</v>
      </c>
    </row>
    <row r="22" spans="1:26" ht="13.5" hidden="1">
      <c r="A22" s="134">
        <v>2</v>
      </c>
      <c r="B22" s="135" t="s">
        <v>483</v>
      </c>
      <c r="C22" s="136">
        <v>48.65</v>
      </c>
      <c r="D22" s="136">
        <v>120.3</v>
      </c>
      <c r="E22" s="136">
        <v>530.9</v>
      </c>
      <c r="F22" s="136">
        <v>1198.0899999999999</v>
      </c>
      <c r="G22" s="136">
        <v>1649.32</v>
      </c>
      <c r="H22" s="136">
        <v>2123.61</v>
      </c>
      <c r="I22" s="136">
        <v>3138.65</v>
      </c>
      <c r="J22" s="136">
        <v>5334.84</v>
      </c>
      <c r="K22" s="136">
        <v>8494.43</v>
      </c>
      <c r="L22" s="136">
        <v>11436.2</v>
      </c>
      <c r="M22" s="136">
        <v>0</v>
      </c>
      <c r="N22" s="137">
        <v>350</v>
      </c>
      <c r="O22" s="137"/>
      <c r="P22" s="137">
        <v>28.16</v>
      </c>
      <c r="Q22" s="137">
        <v>69.61</v>
      </c>
      <c r="R22" s="137">
        <v>307.26</v>
      </c>
      <c r="S22" s="137">
        <v>693.38</v>
      </c>
      <c r="T22" s="137">
        <v>954.53</v>
      </c>
      <c r="U22" s="137">
        <v>1229.03</v>
      </c>
      <c r="V22" s="137">
        <v>1816.21</v>
      </c>
      <c r="W22" s="137">
        <v>3087.07</v>
      </c>
      <c r="X22" s="137">
        <v>4916.1000000000004</v>
      </c>
      <c r="Y22" s="137">
        <v>6617.91</v>
      </c>
      <c r="Z22" s="137">
        <v>0</v>
      </c>
    </row>
    <row r="23" spans="1:26" ht="13.5" hidden="1">
      <c r="A23" s="134">
        <v>2</v>
      </c>
      <c r="B23" s="135" t="s">
        <v>484</v>
      </c>
      <c r="C23" s="136">
        <v>62.38</v>
      </c>
      <c r="D23" s="136">
        <v>204.22</v>
      </c>
      <c r="E23" s="136">
        <v>545.9</v>
      </c>
      <c r="F23" s="136">
        <v>1369.46</v>
      </c>
      <c r="G23" s="136">
        <v>1765.5</v>
      </c>
      <c r="H23" s="136">
        <v>2449.73</v>
      </c>
      <c r="I23" s="136">
        <v>3669.92</v>
      </c>
      <c r="J23" s="136">
        <v>5255.76</v>
      </c>
      <c r="K23" s="136">
        <v>13529.26</v>
      </c>
      <c r="L23" s="136">
        <v>12165.72</v>
      </c>
      <c r="M23" s="136">
        <v>0</v>
      </c>
      <c r="N23" s="137">
        <f>850/2</f>
        <v>425</v>
      </c>
      <c r="O23" s="137"/>
      <c r="P23" s="137">
        <v>36.1</v>
      </c>
      <c r="Q23" s="137">
        <v>118.17</v>
      </c>
      <c r="R23" s="137">
        <v>315.93</v>
      </c>
      <c r="S23" s="137">
        <v>792.57</v>
      </c>
      <c r="T23" s="137">
        <v>1021.61</v>
      </c>
      <c r="U23" s="137">
        <v>1417.63</v>
      </c>
      <c r="V23" s="137">
        <v>2123.61</v>
      </c>
      <c r="W23" s="137">
        <v>3041.43</v>
      </c>
      <c r="X23" s="137">
        <v>7828.4</v>
      </c>
      <c r="Y23" s="137">
        <v>7041.16</v>
      </c>
      <c r="Z23" s="137">
        <v>0</v>
      </c>
    </row>
    <row r="24" spans="1:26" ht="13.5" hidden="1">
      <c r="A24" s="134">
        <v>3</v>
      </c>
      <c r="B24" s="135" t="s">
        <v>30</v>
      </c>
      <c r="C24" s="342">
        <v>0.78</v>
      </c>
      <c r="D24" s="342">
        <v>1.1599999999999999</v>
      </c>
      <c r="E24" s="342">
        <v>2.89</v>
      </c>
      <c r="F24" s="342">
        <v>4.97</v>
      </c>
      <c r="G24" s="342">
        <v>7</v>
      </c>
      <c r="H24" s="342">
        <v>9.14</v>
      </c>
      <c r="I24" s="342"/>
      <c r="J24" s="342"/>
      <c r="K24" s="342"/>
      <c r="L24" s="342"/>
      <c r="M24" s="342"/>
      <c r="N24" s="137">
        <f>+N2</f>
        <v>37.5</v>
      </c>
      <c r="O24" s="137"/>
      <c r="P24" s="343">
        <v>0.54</v>
      </c>
      <c r="Q24" s="343">
        <v>0.81</v>
      </c>
      <c r="R24" s="343">
        <v>2.0099999999999998</v>
      </c>
      <c r="S24" s="343">
        <v>3.45</v>
      </c>
      <c r="T24" s="343">
        <v>4.8600000000000003</v>
      </c>
      <c r="U24" s="343">
        <v>6.35</v>
      </c>
      <c r="V24" s="343"/>
      <c r="W24" s="343"/>
      <c r="X24" s="343"/>
      <c r="Y24" s="343"/>
      <c r="Z24" s="343"/>
    </row>
    <row r="25" spans="1:26" ht="13.5" hidden="1">
      <c r="A25" s="134">
        <v>3</v>
      </c>
      <c r="B25" s="135" t="s">
        <v>31</v>
      </c>
      <c r="C25" s="342">
        <v>1.83</v>
      </c>
      <c r="D25" s="342">
        <v>2.87</v>
      </c>
      <c r="E25" s="342">
        <v>6.55</v>
      </c>
      <c r="F25" s="342">
        <v>12.44</v>
      </c>
      <c r="G25" s="342">
        <v>17.73</v>
      </c>
      <c r="H25" s="342">
        <v>21.95</v>
      </c>
      <c r="I25" s="342">
        <v>52.71</v>
      </c>
      <c r="J25" s="342">
        <v>78.94</v>
      </c>
      <c r="K25" s="342">
        <v>144.9</v>
      </c>
      <c r="L25" s="342">
        <v>282.73</v>
      </c>
      <c r="M25" s="342">
        <v>457.99</v>
      </c>
      <c r="N25" s="137">
        <f t="shared" ref="N25:N88" si="0">+N3</f>
        <v>50</v>
      </c>
      <c r="O25" s="137"/>
      <c r="P25" s="343">
        <v>1.27</v>
      </c>
      <c r="Q25" s="343">
        <v>1.99</v>
      </c>
      <c r="R25" s="343">
        <v>4.54</v>
      </c>
      <c r="S25" s="343">
        <v>8.6300000000000008</v>
      </c>
      <c r="T25" s="343">
        <v>12.31</v>
      </c>
      <c r="U25" s="343">
        <v>15.24</v>
      </c>
      <c r="V25" s="343">
        <v>36.6</v>
      </c>
      <c r="W25" s="343">
        <v>54.81</v>
      </c>
      <c r="X25" s="343">
        <v>100.62</v>
      </c>
      <c r="Y25" s="343">
        <v>196.34</v>
      </c>
      <c r="Z25" s="343">
        <v>318.04000000000002</v>
      </c>
    </row>
    <row r="26" spans="1:26" ht="13.5" hidden="1">
      <c r="A26" s="134">
        <v>3</v>
      </c>
      <c r="B26" s="135" t="s">
        <v>32</v>
      </c>
      <c r="C26" s="342">
        <v>3.29</v>
      </c>
      <c r="D26" s="342">
        <v>5.72</v>
      </c>
      <c r="E26" s="342">
        <v>12.17</v>
      </c>
      <c r="F26" s="342">
        <v>25.17</v>
      </c>
      <c r="G26" s="342">
        <v>33.590000000000003</v>
      </c>
      <c r="H26" s="342">
        <v>42.05</v>
      </c>
      <c r="I26" s="342">
        <v>107.34</v>
      </c>
      <c r="J26" s="342">
        <v>160.75</v>
      </c>
      <c r="K26" s="342">
        <v>295.10000000000002</v>
      </c>
      <c r="L26" s="342">
        <v>575.79999999999995</v>
      </c>
      <c r="M26" s="342">
        <v>932.72</v>
      </c>
      <c r="N26" s="137">
        <f t="shared" si="0"/>
        <v>75</v>
      </c>
      <c r="O26" s="137"/>
      <c r="P26" s="343">
        <v>2.15</v>
      </c>
      <c r="Q26" s="343">
        <v>3.97</v>
      </c>
      <c r="R26" s="343">
        <v>8.44</v>
      </c>
      <c r="S26" s="343">
        <v>17.47</v>
      </c>
      <c r="T26" s="343">
        <v>23.32</v>
      </c>
      <c r="U26" s="343">
        <v>29.19</v>
      </c>
      <c r="V26" s="343">
        <v>74.53</v>
      </c>
      <c r="W26" s="343">
        <v>111.62</v>
      </c>
      <c r="X26" s="343">
        <v>204.92</v>
      </c>
      <c r="Y26" s="343">
        <v>399.85</v>
      </c>
      <c r="Z26" s="343">
        <v>647.71</v>
      </c>
    </row>
    <row r="27" spans="1:26" ht="13.5" hidden="1">
      <c r="A27" s="134">
        <v>3</v>
      </c>
      <c r="B27" s="135" t="s">
        <v>33</v>
      </c>
      <c r="C27" s="342">
        <v>5.72</v>
      </c>
      <c r="D27" s="342">
        <v>10.57</v>
      </c>
      <c r="E27" s="342">
        <v>20.57</v>
      </c>
      <c r="F27" s="342">
        <v>45.11</v>
      </c>
      <c r="G27" s="342">
        <v>58.36</v>
      </c>
      <c r="H27" s="342">
        <v>77.44</v>
      </c>
      <c r="I27" s="342">
        <v>201.23</v>
      </c>
      <c r="J27" s="342">
        <v>301.33</v>
      </c>
      <c r="K27" s="342">
        <v>553.13</v>
      </c>
      <c r="L27" s="342">
        <v>1079.24</v>
      </c>
      <c r="M27" s="342">
        <v>1748.2</v>
      </c>
      <c r="N27" s="137">
        <f t="shared" si="0"/>
        <v>100</v>
      </c>
      <c r="O27" s="137"/>
      <c r="P27" s="343">
        <v>3.97</v>
      </c>
      <c r="Q27" s="343">
        <v>7.33</v>
      </c>
      <c r="R27" s="343">
        <v>14.28</v>
      </c>
      <c r="S27" s="343">
        <v>31.32</v>
      </c>
      <c r="T27" s="343">
        <v>40.520000000000003</v>
      </c>
      <c r="U27" s="343">
        <v>53.78</v>
      </c>
      <c r="V27" s="343">
        <v>139.74</v>
      </c>
      <c r="W27" s="343">
        <v>209.25</v>
      </c>
      <c r="X27" s="343">
        <v>384.12</v>
      </c>
      <c r="Y27" s="343">
        <v>749.47</v>
      </c>
      <c r="Z27" s="343">
        <v>1214.02</v>
      </c>
    </row>
    <row r="28" spans="1:26" ht="13.5" hidden="1">
      <c r="A28" s="134">
        <v>3</v>
      </c>
      <c r="B28" s="135" t="s">
        <v>34</v>
      </c>
      <c r="C28" s="342">
        <v>10.44</v>
      </c>
      <c r="D28" s="342">
        <v>23.38</v>
      </c>
      <c r="E28" s="342">
        <v>41.19</v>
      </c>
      <c r="F28" s="342">
        <v>96.35</v>
      </c>
      <c r="G28" s="342">
        <v>133.27000000000001</v>
      </c>
      <c r="H28" s="342">
        <v>171.86</v>
      </c>
      <c r="I28" s="342">
        <v>507</v>
      </c>
      <c r="J28" s="342">
        <v>640.13</v>
      </c>
      <c r="K28" s="342">
        <v>1330</v>
      </c>
      <c r="L28" s="342">
        <v>2330.64</v>
      </c>
      <c r="M28" s="342">
        <v>4234.34</v>
      </c>
      <c r="N28" s="137">
        <f t="shared" si="0"/>
        <v>150</v>
      </c>
      <c r="O28" s="137"/>
      <c r="P28" s="343">
        <v>5.73</v>
      </c>
      <c r="Q28" s="343">
        <v>14.21</v>
      </c>
      <c r="R28" s="343">
        <v>28.38</v>
      </c>
      <c r="S28" s="343">
        <v>66.680000000000007</v>
      </c>
      <c r="T28" s="343">
        <v>92.33</v>
      </c>
      <c r="U28" s="343">
        <v>119.12</v>
      </c>
      <c r="V28" s="343">
        <v>351.86</v>
      </c>
      <c r="W28" s="343">
        <v>444.31</v>
      </c>
      <c r="X28" s="343">
        <v>923.39</v>
      </c>
      <c r="Y28" s="343">
        <v>1618.27</v>
      </c>
      <c r="Z28" s="343">
        <v>2940.29</v>
      </c>
    </row>
    <row r="29" spans="1:26" ht="13.5" hidden="1">
      <c r="A29" s="134">
        <v>3</v>
      </c>
      <c r="B29" s="135" t="s">
        <v>35</v>
      </c>
      <c r="C29" s="136"/>
      <c r="D29" s="136"/>
      <c r="E29" s="136"/>
      <c r="F29" s="136"/>
      <c r="G29" s="136"/>
      <c r="H29" s="136"/>
      <c r="I29" s="136"/>
      <c r="J29" s="136"/>
      <c r="K29" s="136"/>
      <c r="L29" s="136"/>
      <c r="M29" s="136"/>
      <c r="N29" s="137">
        <f t="shared" si="0"/>
        <v>225</v>
      </c>
      <c r="O29" s="137"/>
      <c r="P29" s="137"/>
      <c r="Q29" s="137"/>
      <c r="R29" s="137"/>
      <c r="S29" s="137"/>
      <c r="T29" s="137"/>
      <c r="U29" s="137"/>
      <c r="V29" s="137"/>
      <c r="W29" s="137"/>
      <c r="X29" s="137"/>
      <c r="Y29" s="137"/>
      <c r="Z29" s="137"/>
    </row>
    <row r="30" spans="1:26" ht="13.5" hidden="1">
      <c r="A30" s="134">
        <v>3</v>
      </c>
      <c r="B30" s="135" t="s">
        <v>214</v>
      </c>
      <c r="C30" s="342">
        <v>0.78</v>
      </c>
      <c r="D30" s="342">
        <v>1.1599999999999999</v>
      </c>
      <c r="E30" s="342">
        <v>2.89</v>
      </c>
      <c r="F30" s="342">
        <v>4.9800000000000004</v>
      </c>
      <c r="G30" s="342">
        <v>7</v>
      </c>
      <c r="H30" s="342">
        <v>9.15</v>
      </c>
      <c r="I30" s="342"/>
      <c r="J30" s="342"/>
      <c r="K30" s="342"/>
      <c r="L30" s="342"/>
      <c r="M30" s="342"/>
      <c r="N30" s="137">
        <f t="shared" si="0"/>
        <v>40</v>
      </c>
      <c r="O30" s="137"/>
      <c r="P30" s="343">
        <v>0.54</v>
      </c>
      <c r="Q30" s="343">
        <v>0.81</v>
      </c>
      <c r="R30" s="343">
        <v>2.0099999999999998</v>
      </c>
      <c r="S30" s="343">
        <v>3.45</v>
      </c>
      <c r="T30" s="343">
        <v>4.8600000000000003</v>
      </c>
      <c r="U30" s="343">
        <v>6.35</v>
      </c>
      <c r="V30" s="343"/>
      <c r="W30" s="343"/>
      <c r="X30" s="343"/>
      <c r="Y30" s="343"/>
      <c r="Z30" s="343"/>
    </row>
    <row r="31" spans="1:26" ht="13.5" hidden="1">
      <c r="A31" s="134">
        <v>3</v>
      </c>
      <c r="B31" s="135" t="s">
        <v>215</v>
      </c>
      <c r="C31" s="342">
        <v>1.83</v>
      </c>
      <c r="D31" s="342">
        <v>2.87</v>
      </c>
      <c r="E31" s="342">
        <v>6.54</v>
      </c>
      <c r="F31" s="342">
        <v>12.43</v>
      </c>
      <c r="G31" s="342">
        <v>17.73</v>
      </c>
      <c r="H31" s="342">
        <v>21.94</v>
      </c>
      <c r="I31" s="342">
        <v>73</v>
      </c>
      <c r="J31" s="342">
        <v>99.23</v>
      </c>
      <c r="K31" s="342">
        <v>200.68</v>
      </c>
      <c r="L31" s="342">
        <v>301.2</v>
      </c>
      <c r="M31" s="342">
        <v>546.45000000000005</v>
      </c>
      <c r="N31" s="137">
        <f t="shared" si="0"/>
        <v>55</v>
      </c>
      <c r="O31" s="137"/>
      <c r="P31" s="343">
        <v>1.26</v>
      </c>
      <c r="Q31" s="343">
        <v>1.99</v>
      </c>
      <c r="R31" s="343">
        <v>4.54</v>
      </c>
      <c r="S31" s="343">
        <v>8.6300000000000008</v>
      </c>
      <c r="T31" s="343">
        <v>12.31</v>
      </c>
      <c r="U31" s="343">
        <v>15.24</v>
      </c>
      <c r="V31" s="343">
        <v>50.69</v>
      </c>
      <c r="W31" s="343">
        <v>68.91</v>
      </c>
      <c r="X31" s="343">
        <v>139.36000000000001</v>
      </c>
      <c r="Y31" s="343">
        <v>209.16</v>
      </c>
      <c r="Z31" s="343">
        <v>379.48</v>
      </c>
    </row>
    <row r="32" spans="1:26" ht="13.5" hidden="1">
      <c r="A32" s="134">
        <v>3</v>
      </c>
      <c r="B32" s="135" t="s">
        <v>216</v>
      </c>
      <c r="C32" s="342">
        <v>3.29</v>
      </c>
      <c r="D32" s="342">
        <v>5.72</v>
      </c>
      <c r="E32" s="342">
        <v>12.16</v>
      </c>
      <c r="F32" s="342">
        <v>25.17</v>
      </c>
      <c r="G32" s="342">
        <v>33.58</v>
      </c>
      <c r="H32" s="342">
        <v>42.05</v>
      </c>
      <c r="I32" s="342">
        <v>122.4</v>
      </c>
      <c r="J32" s="342">
        <v>183.31</v>
      </c>
      <c r="K32" s="342">
        <v>339.6</v>
      </c>
      <c r="L32" s="342">
        <v>620.46</v>
      </c>
      <c r="M32" s="342">
        <v>1005.06</v>
      </c>
      <c r="N32" s="137">
        <f t="shared" si="0"/>
        <v>80</v>
      </c>
      <c r="O32" s="137"/>
      <c r="P32" s="343">
        <v>2.14</v>
      </c>
      <c r="Q32" s="343">
        <v>3.96</v>
      </c>
      <c r="R32" s="343">
        <v>8.43</v>
      </c>
      <c r="S32" s="343">
        <v>17.47</v>
      </c>
      <c r="T32" s="343">
        <v>23.31</v>
      </c>
      <c r="U32" s="343">
        <v>29.19</v>
      </c>
      <c r="V32" s="343">
        <v>84.99</v>
      </c>
      <c r="W32" s="343">
        <v>127.29</v>
      </c>
      <c r="X32" s="343">
        <v>235.82</v>
      </c>
      <c r="Y32" s="343">
        <v>430.86</v>
      </c>
      <c r="Z32" s="343">
        <v>697.95</v>
      </c>
    </row>
    <row r="33" spans="1:26" ht="13.5" hidden="1">
      <c r="A33" s="134">
        <v>3</v>
      </c>
      <c r="B33" s="135" t="s">
        <v>217</v>
      </c>
      <c r="C33" s="342">
        <v>6.24</v>
      </c>
      <c r="D33" s="342">
        <v>11.64</v>
      </c>
      <c r="E33" s="342">
        <v>22.31</v>
      </c>
      <c r="F33" s="342">
        <v>50.31</v>
      </c>
      <c r="G33" s="342">
        <v>77.41</v>
      </c>
      <c r="H33" s="342">
        <v>101.75</v>
      </c>
      <c r="I33" s="342">
        <v>262.75</v>
      </c>
      <c r="J33" s="342">
        <v>339.67</v>
      </c>
      <c r="K33" s="342">
        <v>703.86</v>
      </c>
      <c r="L33" s="342">
        <v>1343.3</v>
      </c>
      <c r="M33" s="342">
        <v>2439.46</v>
      </c>
      <c r="N33" s="137">
        <f t="shared" si="0"/>
        <v>105</v>
      </c>
      <c r="O33" s="137"/>
      <c r="P33" s="343">
        <v>4.25</v>
      </c>
      <c r="Q33" s="343">
        <v>8.0500000000000007</v>
      </c>
      <c r="R33" s="343">
        <v>15.46</v>
      </c>
      <c r="S33" s="343">
        <v>34.9</v>
      </c>
      <c r="T33" s="343">
        <v>53.73</v>
      </c>
      <c r="U33" s="343">
        <v>70.63</v>
      </c>
      <c r="V33" s="343">
        <v>182.44</v>
      </c>
      <c r="W33" s="343">
        <v>235.85</v>
      </c>
      <c r="X33" s="343">
        <v>488.76</v>
      </c>
      <c r="Y33" s="343">
        <v>932.81</v>
      </c>
      <c r="Z33" s="343">
        <v>1694.04</v>
      </c>
    </row>
    <row r="34" spans="1:26" ht="13.5" hidden="1">
      <c r="A34" s="134">
        <v>3</v>
      </c>
      <c r="B34" s="135" t="s">
        <v>218</v>
      </c>
      <c r="C34" s="342">
        <v>22.71</v>
      </c>
      <c r="D34" s="342">
        <v>47.3</v>
      </c>
      <c r="E34" s="342">
        <v>86.21</v>
      </c>
      <c r="F34" s="342">
        <v>197.83</v>
      </c>
      <c r="G34" s="342">
        <v>270.60000000000002</v>
      </c>
      <c r="H34" s="342">
        <v>282.89999999999998</v>
      </c>
      <c r="I34" s="342">
        <v>987.82</v>
      </c>
      <c r="J34" s="342">
        <v>1338.22</v>
      </c>
      <c r="K34" s="342">
        <v>2771.94</v>
      </c>
      <c r="L34" s="342">
        <v>4734.34</v>
      </c>
      <c r="M34" s="342">
        <v>8596.32</v>
      </c>
      <c r="N34" s="137">
        <f t="shared" si="0"/>
        <v>157.5</v>
      </c>
      <c r="O34" s="137"/>
      <c r="P34" s="343">
        <v>15.56</v>
      </c>
      <c r="Q34" s="343">
        <v>27.17</v>
      </c>
      <c r="R34" s="343">
        <v>59.66</v>
      </c>
      <c r="S34" s="343">
        <v>137.16999999999999</v>
      </c>
      <c r="T34" s="343">
        <v>187.7</v>
      </c>
      <c r="U34" s="343">
        <v>196.25</v>
      </c>
      <c r="V34" s="343">
        <v>685.78</v>
      </c>
      <c r="W34" s="343">
        <v>929.11</v>
      </c>
      <c r="X34" s="343">
        <v>1924.75</v>
      </c>
      <c r="Y34" s="343">
        <v>3287.52</v>
      </c>
      <c r="Z34" s="343">
        <v>5969.45</v>
      </c>
    </row>
    <row r="35" spans="1:26" ht="13.5" hidden="1">
      <c r="A35" s="134">
        <v>3</v>
      </c>
      <c r="B35" s="135" t="s">
        <v>219</v>
      </c>
      <c r="C35" s="342">
        <v>34.9</v>
      </c>
      <c r="D35" s="342">
        <v>69.319999999999993</v>
      </c>
      <c r="E35" s="342">
        <v>120.88</v>
      </c>
      <c r="F35" s="342">
        <v>279.12</v>
      </c>
      <c r="G35" s="342">
        <v>409.05</v>
      </c>
      <c r="H35" s="342">
        <v>494.59</v>
      </c>
      <c r="I35" s="342">
        <v>1725.8</v>
      </c>
      <c r="J35" s="342">
        <v>2428.7199999999998</v>
      </c>
      <c r="K35" s="342">
        <v>4793.13</v>
      </c>
      <c r="L35" s="342">
        <v>8353.74</v>
      </c>
      <c r="M35" s="342">
        <v>14567.2</v>
      </c>
      <c r="N35" s="137">
        <f t="shared" si="0"/>
        <v>200</v>
      </c>
      <c r="O35" s="137"/>
      <c r="P35" s="343">
        <v>21</v>
      </c>
      <c r="Q35" s="343">
        <v>47.57</v>
      </c>
      <c r="R35" s="343">
        <v>83.38</v>
      </c>
      <c r="S35" s="343">
        <v>193.27</v>
      </c>
      <c r="T35" s="343">
        <v>283.5</v>
      </c>
      <c r="U35" s="343">
        <v>342.9</v>
      </c>
      <c r="V35" s="343">
        <v>1197.9100000000001</v>
      </c>
      <c r="W35" s="343">
        <v>1686.04</v>
      </c>
      <c r="X35" s="343">
        <v>3328</v>
      </c>
      <c r="Y35" s="343">
        <v>5800.64</v>
      </c>
      <c r="Z35" s="343">
        <v>10115.540000000001</v>
      </c>
    </row>
    <row r="36" spans="1:26" ht="13.5" hidden="1">
      <c r="A36" s="134">
        <v>3</v>
      </c>
      <c r="B36" s="135" t="s">
        <v>220</v>
      </c>
      <c r="C36" s="342">
        <v>51.33</v>
      </c>
      <c r="D36" s="342">
        <v>89.4</v>
      </c>
      <c r="E36" s="342">
        <v>190.92</v>
      </c>
      <c r="F36" s="342">
        <v>431.39</v>
      </c>
      <c r="G36" s="342">
        <v>612.13</v>
      </c>
      <c r="H36" s="342">
        <v>792.27</v>
      </c>
      <c r="I36" s="342">
        <v>2626.57</v>
      </c>
      <c r="J36" s="342">
        <v>3842.63</v>
      </c>
      <c r="K36" s="342">
        <v>7594.27</v>
      </c>
      <c r="L36" s="342">
        <v>13333.39</v>
      </c>
      <c r="M36" s="342">
        <v>22956.91</v>
      </c>
      <c r="N36" s="137">
        <f t="shared" si="0"/>
        <v>235</v>
      </c>
      <c r="O36" s="137"/>
      <c r="P36" s="343">
        <v>34.35</v>
      </c>
      <c r="Q36" s="343">
        <v>49.95</v>
      </c>
      <c r="R36" s="343">
        <v>130.30000000000001</v>
      </c>
      <c r="S36" s="343">
        <v>298.27999999999997</v>
      </c>
      <c r="T36" s="343">
        <v>423.79</v>
      </c>
      <c r="U36" s="343">
        <v>548.89</v>
      </c>
      <c r="V36" s="343">
        <v>1822.71</v>
      </c>
      <c r="W36" s="343">
        <v>2667.2</v>
      </c>
      <c r="X36" s="343">
        <v>5272.5</v>
      </c>
      <c r="Y36" s="343">
        <v>9258</v>
      </c>
      <c r="Z36" s="343">
        <v>15941</v>
      </c>
    </row>
    <row r="37" spans="1:26" ht="13.5" hidden="1">
      <c r="A37" s="134">
        <v>3</v>
      </c>
      <c r="B37" s="135" t="s">
        <v>480</v>
      </c>
      <c r="C37" s="136">
        <v>2.62</v>
      </c>
      <c r="D37" s="136">
        <v>6.77</v>
      </c>
      <c r="E37" s="136">
        <v>8.49</v>
      </c>
      <c r="F37" s="136">
        <v>22.16</v>
      </c>
      <c r="G37" s="136">
        <v>28.88</v>
      </c>
      <c r="H37" s="136">
        <v>0</v>
      </c>
      <c r="I37" s="136">
        <v>0</v>
      </c>
      <c r="J37" s="136">
        <v>0</v>
      </c>
      <c r="K37" s="136">
        <v>0</v>
      </c>
      <c r="L37" s="136">
        <v>0</v>
      </c>
      <c r="M37" s="136">
        <v>0</v>
      </c>
      <c r="N37" s="137">
        <f t="shared" si="0"/>
        <v>55</v>
      </c>
      <c r="O37" s="137"/>
      <c r="P37" s="137">
        <v>1.48</v>
      </c>
      <c r="Q37" s="137">
        <v>3.89</v>
      </c>
      <c r="R37" s="137">
        <v>4.93</v>
      </c>
      <c r="S37" s="137">
        <v>12.82</v>
      </c>
      <c r="T37" s="137">
        <v>16.579999999999998</v>
      </c>
      <c r="U37" s="137">
        <v>0</v>
      </c>
      <c r="V37" s="137">
        <v>0</v>
      </c>
      <c r="W37" s="137">
        <v>0</v>
      </c>
      <c r="X37" s="137">
        <v>0</v>
      </c>
      <c r="Y37" s="137">
        <v>0</v>
      </c>
      <c r="Z37" s="137">
        <v>0</v>
      </c>
    </row>
    <row r="38" spans="1:26" ht="13.5" hidden="1">
      <c r="A38" s="134">
        <v>3</v>
      </c>
      <c r="B38" s="135" t="s">
        <v>481</v>
      </c>
      <c r="C38" s="136">
        <v>5.7</v>
      </c>
      <c r="D38" s="136">
        <v>10.56</v>
      </c>
      <c r="E38" s="136">
        <v>13.34</v>
      </c>
      <c r="F38" s="136">
        <v>49.49</v>
      </c>
      <c r="G38" s="136">
        <v>55.14</v>
      </c>
      <c r="H38" s="136">
        <v>68.680000000000007</v>
      </c>
      <c r="I38" s="136">
        <v>0</v>
      </c>
      <c r="J38" s="136">
        <v>0</v>
      </c>
      <c r="K38" s="136">
        <v>0</v>
      </c>
      <c r="L38" s="136">
        <v>0</v>
      </c>
      <c r="M38" s="136">
        <v>0</v>
      </c>
      <c r="N38" s="137">
        <f t="shared" si="0"/>
        <v>80</v>
      </c>
      <c r="O38" s="137"/>
      <c r="P38" s="137">
        <v>3.26</v>
      </c>
      <c r="Q38" s="137">
        <v>6.13</v>
      </c>
      <c r="R38" s="137">
        <v>7.69</v>
      </c>
      <c r="S38" s="137">
        <v>28.59</v>
      </c>
      <c r="T38" s="137">
        <v>31.67</v>
      </c>
      <c r="U38" s="137">
        <v>39.47</v>
      </c>
      <c r="V38" s="137">
        <v>0</v>
      </c>
      <c r="W38" s="137">
        <v>0</v>
      </c>
      <c r="X38" s="137">
        <v>0</v>
      </c>
      <c r="Y38" s="137">
        <v>0</v>
      </c>
      <c r="Z38" s="137">
        <v>0</v>
      </c>
    </row>
    <row r="39" spans="1:26" ht="13.5" hidden="1">
      <c r="A39" s="134">
        <v>3</v>
      </c>
      <c r="B39" s="135" t="s">
        <v>403</v>
      </c>
      <c r="C39" s="136">
        <v>9.6</v>
      </c>
      <c r="D39" s="136">
        <v>16.14</v>
      </c>
      <c r="E39" s="136">
        <v>30.67</v>
      </c>
      <c r="F39" s="136">
        <v>52.23</v>
      </c>
      <c r="G39" s="136">
        <v>121.16</v>
      </c>
      <c r="H39" s="136">
        <v>128.78</v>
      </c>
      <c r="I39" s="136">
        <v>260.17</v>
      </c>
      <c r="J39" s="136">
        <v>441.08</v>
      </c>
      <c r="K39" s="136">
        <v>0</v>
      </c>
      <c r="L39" s="136">
        <v>0</v>
      </c>
      <c r="M39" s="136">
        <v>0</v>
      </c>
      <c r="N39" s="137">
        <f t="shared" si="0"/>
        <v>105</v>
      </c>
      <c r="O39" s="137"/>
      <c r="P39" s="137">
        <v>5.55</v>
      </c>
      <c r="Q39" s="137">
        <v>9.34</v>
      </c>
      <c r="R39" s="137">
        <v>17.75</v>
      </c>
      <c r="S39" s="137">
        <v>30.32</v>
      </c>
      <c r="T39" s="137">
        <v>69.959999999999994</v>
      </c>
      <c r="U39" s="137">
        <v>74.63</v>
      </c>
      <c r="V39" s="137">
        <v>150.91</v>
      </c>
      <c r="W39" s="137">
        <v>255.26</v>
      </c>
      <c r="X39" s="137">
        <v>0</v>
      </c>
      <c r="Y39" s="137">
        <v>0</v>
      </c>
      <c r="Z39" s="137">
        <v>0</v>
      </c>
    </row>
    <row r="40" spans="1:26" ht="13.5" hidden="1">
      <c r="A40" s="134">
        <v>3</v>
      </c>
      <c r="B40" s="135" t="s">
        <v>404</v>
      </c>
      <c r="C40" s="136">
        <v>34.17</v>
      </c>
      <c r="D40" s="136">
        <v>68.400000000000006</v>
      </c>
      <c r="E40" s="136">
        <v>145.88</v>
      </c>
      <c r="F40" s="136">
        <v>228.12</v>
      </c>
      <c r="G40" s="136">
        <v>436.57</v>
      </c>
      <c r="H40" s="136">
        <v>525.32000000000005</v>
      </c>
      <c r="I40" s="136">
        <v>912.48</v>
      </c>
      <c r="J40" s="136">
        <v>1298.7</v>
      </c>
      <c r="K40" s="136">
        <v>2725.6</v>
      </c>
      <c r="L40" s="136">
        <v>1962.42</v>
      </c>
      <c r="M40" s="136">
        <v>0</v>
      </c>
      <c r="N40" s="137">
        <f t="shared" si="0"/>
        <v>157.5</v>
      </c>
      <c r="O40" s="137"/>
      <c r="P40" s="137">
        <v>19.79</v>
      </c>
      <c r="Q40" s="137">
        <v>39.57</v>
      </c>
      <c r="R40" s="137">
        <v>84.49</v>
      </c>
      <c r="S40" s="137">
        <v>132.11000000000001</v>
      </c>
      <c r="T40" s="137">
        <v>252.5</v>
      </c>
      <c r="U40" s="137">
        <v>303.68</v>
      </c>
      <c r="V40" s="137">
        <v>528.44000000000005</v>
      </c>
      <c r="W40" s="137">
        <v>751.32</v>
      </c>
      <c r="X40" s="137">
        <v>1577.32</v>
      </c>
      <c r="Y40" s="137">
        <v>1134.3499999999999</v>
      </c>
      <c r="Z40" s="137">
        <v>0</v>
      </c>
    </row>
    <row r="41" spans="1:26" ht="13.5" hidden="1">
      <c r="A41" s="134">
        <v>3</v>
      </c>
      <c r="B41" s="135" t="s">
        <v>405</v>
      </c>
      <c r="C41" s="136">
        <v>28.39</v>
      </c>
      <c r="D41" s="136">
        <v>135.63</v>
      </c>
      <c r="E41" s="136">
        <v>240.65</v>
      </c>
      <c r="F41" s="136">
        <v>451.75</v>
      </c>
      <c r="G41" s="136">
        <v>650.27</v>
      </c>
      <c r="H41" s="136">
        <v>1050.6300000000001</v>
      </c>
      <c r="I41" s="136">
        <v>1552.18</v>
      </c>
      <c r="J41" s="136">
        <v>2646.49</v>
      </c>
      <c r="K41" s="136">
        <v>5455.62</v>
      </c>
      <c r="L41" s="136">
        <v>3771.72</v>
      </c>
      <c r="M41" s="136">
        <v>0</v>
      </c>
      <c r="N41" s="137">
        <f t="shared" si="0"/>
        <v>200</v>
      </c>
      <c r="O41" s="137"/>
      <c r="P41" s="137">
        <v>16.41</v>
      </c>
      <c r="Q41" s="137">
        <v>78.459999999999994</v>
      </c>
      <c r="R41" s="137">
        <v>139.29</v>
      </c>
      <c r="S41" s="137">
        <v>261.38</v>
      </c>
      <c r="T41" s="137">
        <v>375.99</v>
      </c>
      <c r="U41" s="137">
        <v>608</v>
      </c>
      <c r="V41" s="137">
        <v>898.25</v>
      </c>
      <c r="W41" s="137">
        <v>1531.53</v>
      </c>
      <c r="X41" s="137">
        <v>3157.7</v>
      </c>
      <c r="Y41" s="137">
        <v>2180.6799999999998</v>
      </c>
      <c r="Z41" s="137">
        <v>0</v>
      </c>
    </row>
    <row r="42" spans="1:26" ht="13.5" hidden="1">
      <c r="A42" s="134">
        <v>3</v>
      </c>
      <c r="B42" s="135" t="s">
        <v>406</v>
      </c>
      <c r="C42" s="136">
        <v>48.78</v>
      </c>
      <c r="D42" s="136">
        <v>194.56</v>
      </c>
      <c r="E42" s="136">
        <v>426.07</v>
      </c>
      <c r="F42" s="136">
        <v>1108.48</v>
      </c>
      <c r="G42" s="136">
        <v>1654.74</v>
      </c>
      <c r="H42" s="136">
        <v>1704.28</v>
      </c>
      <c r="I42" s="136">
        <v>3320.51</v>
      </c>
      <c r="J42" s="136">
        <v>5292.98</v>
      </c>
      <c r="K42" s="136">
        <v>8004.81</v>
      </c>
      <c r="L42" s="136">
        <v>14183.52</v>
      </c>
      <c r="M42" s="136">
        <v>0</v>
      </c>
      <c r="N42" s="137">
        <f t="shared" si="0"/>
        <v>235</v>
      </c>
      <c r="O42" s="137"/>
      <c r="P42" s="137">
        <v>28.24</v>
      </c>
      <c r="Q42" s="137">
        <v>112.59</v>
      </c>
      <c r="R42" s="137">
        <v>246.52</v>
      </c>
      <c r="S42" s="137">
        <v>641.29999999999995</v>
      </c>
      <c r="T42" s="137">
        <v>957.21</v>
      </c>
      <c r="U42" s="137">
        <v>986.07</v>
      </c>
      <c r="V42" s="137">
        <v>1921.59</v>
      </c>
      <c r="W42" s="137">
        <v>3063.07</v>
      </c>
      <c r="X42" s="137">
        <v>4630.88</v>
      </c>
      <c r="Y42" s="137">
        <v>8210.9500000000007</v>
      </c>
      <c r="Z42" s="137">
        <v>0</v>
      </c>
    </row>
    <row r="43" spans="1:26" ht="13.5" hidden="1">
      <c r="A43" s="134">
        <v>3</v>
      </c>
      <c r="B43" s="135" t="s">
        <v>482</v>
      </c>
      <c r="C43" s="136">
        <v>173.5</v>
      </c>
      <c r="D43" s="136">
        <v>333.99</v>
      </c>
      <c r="E43" s="136">
        <v>716.8</v>
      </c>
      <c r="F43" s="136">
        <v>1482.37</v>
      </c>
      <c r="G43" s="136">
        <v>2174.69</v>
      </c>
      <c r="H43" s="136">
        <v>2851.85</v>
      </c>
      <c r="I43" s="136">
        <v>5644.81</v>
      </c>
      <c r="J43" s="136">
        <v>9331.2099999999991</v>
      </c>
      <c r="K43" s="136">
        <v>14554.2</v>
      </c>
      <c r="L43" s="136">
        <v>28375.38</v>
      </c>
      <c r="M43" s="136">
        <v>0</v>
      </c>
      <c r="N43" s="137">
        <f t="shared" si="0"/>
        <v>300</v>
      </c>
      <c r="O43" s="137"/>
      <c r="P43" s="137">
        <v>100.38</v>
      </c>
      <c r="Q43" s="137">
        <v>207.49</v>
      </c>
      <c r="R43" s="137">
        <v>414.77</v>
      </c>
      <c r="S43" s="137">
        <v>857.91</v>
      </c>
      <c r="T43" s="137">
        <v>1263.81</v>
      </c>
      <c r="U43" s="137">
        <v>1650.18</v>
      </c>
      <c r="V43" s="137">
        <v>3604.13</v>
      </c>
      <c r="W43" s="137">
        <v>5617.51</v>
      </c>
      <c r="X43" s="137">
        <v>8422.57</v>
      </c>
      <c r="Y43" s="137">
        <v>16421.91</v>
      </c>
      <c r="Z43" s="137">
        <v>0</v>
      </c>
    </row>
    <row r="44" spans="1:26" ht="13.5" hidden="1">
      <c r="A44" s="134">
        <v>3</v>
      </c>
      <c r="B44" s="135" t="s">
        <v>483</v>
      </c>
      <c r="C44" s="136">
        <v>120.38</v>
      </c>
      <c r="D44" s="136">
        <v>297.69</v>
      </c>
      <c r="E44" s="136">
        <v>1312.9</v>
      </c>
      <c r="F44" s="136">
        <v>2777.71</v>
      </c>
      <c r="G44" s="136">
        <v>3858.32</v>
      </c>
      <c r="H44" s="136">
        <v>5251.6</v>
      </c>
      <c r="I44" s="136">
        <v>7766.81</v>
      </c>
      <c r="J44" s="136">
        <v>13201.41</v>
      </c>
      <c r="K44" s="136">
        <v>21006.41</v>
      </c>
      <c r="L44" s="136">
        <v>28299.67</v>
      </c>
      <c r="M44" s="136">
        <v>0</v>
      </c>
      <c r="N44" s="137">
        <f t="shared" si="0"/>
        <v>350</v>
      </c>
      <c r="O44" s="137"/>
      <c r="P44" s="137">
        <v>69.69</v>
      </c>
      <c r="Q44" s="137">
        <v>172.25</v>
      </c>
      <c r="R44" s="137">
        <v>760.33</v>
      </c>
      <c r="S44" s="137">
        <v>1715.82</v>
      </c>
      <c r="T44" s="137">
        <v>2362.06</v>
      </c>
      <c r="U44" s="137">
        <v>3041.31</v>
      </c>
      <c r="V44" s="137">
        <v>4494.34</v>
      </c>
      <c r="W44" s="137">
        <v>7639.16</v>
      </c>
      <c r="X44" s="137">
        <v>12165.23</v>
      </c>
      <c r="Y44" s="137">
        <v>16376.48</v>
      </c>
      <c r="Z44" s="137">
        <v>0</v>
      </c>
    </row>
    <row r="45" spans="1:26" ht="13.5" hidden="1">
      <c r="A45" s="134">
        <v>3</v>
      </c>
      <c r="B45" s="135" t="s">
        <v>484</v>
      </c>
      <c r="C45" s="136">
        <v>154.36000000000001</v>
      </c>
      <c r="D45" s="136">
        <v>505.35</v>
      </c>
      <c r="E45" s="136">
        <v>1350.86</v>
      </c>
      <c r="F45" s="136">
        <v>3208.29</v>
      </c>
      <c r="G45" s="136">
        <v>4368.8599999999997</v>
      </c>
      <c r="H45" s="136">
        <v>5813.85</v>
      </c>
      <c r="I45" s="136">
        <v>9081.4599999999991</v>
      </c>
      <c r="J45" s="136">
        <v>13005.73</v>
      </c>
      <c r="K45" s="136">
        <v>32480.66</v>
      </c>
      <c r="L45" s="136">
        <v>30104.9</v>
      </c>
      <c r="M45" s="136">
        <v>0</v>
      </c>
      <c r="N45" s="137">
        <f t="shared" si="0"/>
        <v>425</v>
      </c>
      <c r="O45" s="137"/>
      <c r="P45" s="137">
        <v>89.33</v>
      </c>
      <c r="Q45" s="137">
        <v>292.41000000000003</v>
      </c>
      <c r="R45" s="137">
        <v>781.79</v>
      </c>
      <c r="S45" s="137">
        <v>1961.27</v>
      </c>
      <c r="T45" s="137">
        <v>2528.0500000000002</v>
      </c>
      <c r="U45" s="137">
        <v>3508.03</v>
      </c>
      <c r="V45" s="137">
        <v>5255.01</v>
      </c>
      <c r="W45" s="137">
        <v>7526.22</v>
      </c>
      <c r="X45" s="137">
        <v>19371.91</v>
      </c>
      <c r="Y45" s="137">
        <v>17423.830000000002</v>
      </c>
      <c r="Z45" s="137">
        <v>0</v>
      </c>
    </row>
    <row r="46" spans="1:26" ht="13.5" hidden="1">
      <c r="A46" s="134">
        <v>4</v>
      </c>
      <c r="B46" s="135" t="s">
        <v>30</v>
      </c>
      <c r="C46" s="342">
        <v>1.05</v>
      </c>
      <c r="D46" s="342">
        <v>1.55</v>
      </c>
      <c r="E46" s="342">
        <v>3.86</v>
      </c>
      <c r="F46" s="342">
        <v>6.64</v>
      </c>
      <c r="G46" s="342">
        <v>9.35</v>
      </c>
      <c r="H46" s="342">
        <v>12.21</v>
      </c>
      <c r="I46" s="342"/>
      <c r="J46" s="342"/>
      <c r="K46" s="342"/>
      <c r="L46" s="342"/>
      <c r="M46" s="342"/>
      <c r="N46" s="137">
        <f t="shared" si="0"/>
        <v>37.5</v>
      </c>
      <c r="O46" s="137"/>
      <c r="P46" s="343">
        <v>0.73</v>
      </c>
      <c r="Q46" s="343">
        <v>1.08</v>
      </c>
      <c r="R46" s="343">
        <v>2.68</v>
      </c>
      <c r="S46" s="343">
        <v>4.6100000000000003</v>
      </c>
      <c r="T46" s="343">
        <v>6.49</v>
      </c>
      <c r="U46" s="343">
        <v>8.48</v>
      </c>
      <c r="V46" s="343"/>
      <c r="W46" s="343"/>
      <c r="X46" s="343"/>
      <c r="Y46" s="343"/>
      <c r="Z46" s="343"/>
    </row>
    <row r="47" spans="1:26" ht="13.5" hidden="1">
      <c r="A47" s="134">
        <v>4</v>
      </c>
      <c r="B47" s="135" t="s">
        <v>31</v>
      </c>
      <c r="C47" s="342">
        <v>2.44</v>
      </c>
      <c r="D47" s="342">
        <v>3.83</v>
      </c>
      <c r="E47" s="342">
        <v>8.75</v>
      </c>
      <c r="F47" s="342">
        <v>16.61</v>
      </c>
      <c r="G47" s="342">
        <v>23.69</v>
      </c>
      <c r="H47" s="342">
        <v>29.32</v>
      </c>
      <c r="I47" s="342">
        <v>68.709999999999994</v>
      </c>
      <c r="J47" s="342">
        <v>102.9</v>
      </c>
      <c r="K47" s="342">
        <v>188.88</v>
      </c>
      <c r="L47" s="342">
        <v>368.55</v>
      </c>
      <c r="M47" s="342">
        <v>596.99</v>
      </c>
      <c r="N47" s="137">
        <f t="shared" si="0"/>
        <v>50</v>
      </c>
      <c r="O47" s="137"/>
      <c r="P47" s="343">
        <v>1.69</v>
      </c>
      <c r="Q47" s="343">
        <v>2.66</v>
      </c>
      <c r="R47" s="343">
        <v>6.07</v>
      </c>
      <c r="S47" s="343">
        <v>11.53</v>
      </c>
      <c r="T47" s="343">
        <v>16.45</v>
      </c>
      <c r="U47" s="343">
        <v>20.36</v>
      </c>
      <c r="V47" s="343">
        <v>47.71</v>
      </c>
      <c r="W47" s="343">
        <v>71.45</v>
      </c>
      <c r="X47" s="343">
        <v>131.16999999999999</v>
      </c>
      <c r="Y47" s="343">
        <v>255.93</v>
      </c>
      <c r="Z47" s="343">
        <v>414.57</v>
      </c>
    </row>
    <row r="48" spans="1:26" ht="13.5" hidden="1">
      <c r="A48" s="134">
        <v>4</v>
      </c>
      <c r="B48" s="135" t="s">
        <v>32</v>
      </c>
      <c r="C48" s="342">
        <v>4.3</v>
      </c>
      <c r="D48" s="342">
        <v>7.66</v>
      </c>
      <c r="E48" s="342">
        <v>15.07</v>
      </c>
      <c r="F48" s="342">
        <v>30.78</v>
      </c>
      <c r="G48" s="342">
        <v>44.87</v>
      </c>
      <c r="H48" s="342">
        <v>56.18</v>
      </c>
      <c r="I48" s="342">
        <v>111.2</v>
      </c>
      <c r="J48" s="342">
        <v>166.53</v>
      </c>
      <c r="K48" s="342">
        <v>305.7</v>
      </c>
      <c r="L48" s="342">
        <v>596.5</v>
      </c>
      <c r="M48" s="342">
        <v>966.25</v>
      </c>
      <c r="N48" s="137">
        <f t="shared" si="0"/>
        <v>75</v>
      </c>
      <c r="O48" s="137"/>
      <c r="P48" s="343">
        <v>2.88</v>
      </c>
      <c r="Q48" s="343">
        <v>5.31</v>
      </c>
      <c r="R48" s="343">
        <v>10.45</v>
      </c>
      <c r="S48" s="343">
        <v>21.37</v>
      </c>
      <c r="T48" s="343">
        <v>31.15</v>
      </c>
      <c r="U48" s="343">
        <v>39</v>
      </c>
      <c r="V48" s="343">
        <v>77.209999999999994</v>
      </c>
      <c r="W48" s="343">
        <v>115.63</v>
      </c>
      <c r="X48" s="343">
        <v>212.28</v>
      </c>
      <c r="Y48" s="343">
        <v>414.22</v>
      </c>
      <c r="Z48" s="343">
        <v>670.99</v>
      </c>
    </row>
    <row r="49" spans="1:26" ht="13.5" hidden="1">
      <c r="A49" s="134">
        <v>4</v>
      </c>
      <c r="B49" s="135" t="s">
        <v>33</v>
      </c>
      <c r="C49" s="342">
        <v>7.64</v>
      </c>
      <c r="D49" s="342">
        <v>14.12</v>
      </c>
      <c r="E49" s="342">
        <v>27.48</v>
      </c>
      <c r="F49" s="342">
        <v>60.25</v>
      </c>
      <c r="G49" s="342">
        <v>77.95</v>
      </c>
      <c r="H49" s="342">
        <v>103.44</v>
      </c>
      <c r="I49" s="342">
        <v>276.3</v>
      </c>
      <c r="J49" s="342">
        <v>413.74</v>
      </c>
      <c r="K49" s="342">
        <v>759.46</v>
      </c>
      <c r="L49" s="342">
        <v>1481.81</v>
      </c>
      <c r="M49" s="342">
        <v>2400.29</v>
      </c>
      <c r="N49" s="137">
        <f t="shared" si="0"/>
        <v>100</v>
      </c>
      <c r="O49" s="137"/>
      <c r="P49" s="343">
        <v>5.3</v>
      </c>
      <c r="Q49" s="343">
        <v>9.8000000000000007</v>
      </c>
      <c r="R49" s="343">
        <v>19.079999999999998</v>
      </c>
      <c r="S49" s="343">
        <v>41.84</v>
      </c>
      <c r="T49" s="343">
        <v>54.13</v>
      </c>
      <c r="U49" s="343">
        <v>71.83</v>
      </c>
      <c r="V49" s="343">
        <v>191.87</v>
      </c>
      <c r="W49" s="343">
        <v>287.31</v>
      </c>
      <c r="X49" s="343">
        <v>527.4</v>
      </c>
      <c r="Y49" s="343">
        <v>1029.03</v>
      </c>
      <c r="Z49" s="343">
        <v>1666.87</v>
      </c>
    </row>
    <row r="50" spans="1:26" ht="13.5" hidden="1">
      <c r="A50" s="134">
        <v>4</v>
      </c>
      <c r="B50" s="135" t="s">
        <v>34</v>
      </c>
      <c r="C50" s="342">
        <v>14.19</v>
      </c>
      <c r="D50" s="342">
        <v>31.47</v>
      </c>
      <c r="E50" s="342">
        <v>55.27</v>
      </c>
      <c r="F50" s="342">
        <v>128.93</v>
      </c>
      <c r="G50" s="342">
        <v>178.26</v>
      </c>
      <c r="H50" s="342">
        <v>229.8</v>
      </c>
      <c r="I50" s="342">
        <v>677.43</v>
      </c>
      <c r="J50" s="342">
        <v>855.25</v>
      </c>
      <c r="K50" s="342">
        <v>1776.69</v>
      </c>
      <c r="L50" s="342">
        <v>3113.21</v>
      </c>
      <c r="M50" s="342">
        <v>5655.93</v>
      </c>
      <c r="N50" s="137">
        <f t="shared" si="0"/>
        <v>150</v>
      </c>
      <c r="O50" s="137"/>
      <c r="P50" s="343">
        <v>7.9</v>
      </c>
      <c r="Q50" s="343">
        <v>19.23</v>
      </c>
      <c r="R50" s="343">
        <v>38.15</v>
      </c>
      <c r="S50" s="343">
        <v>89.31</v>
      </c>
      <c r="T50" s="343">
        <v>123.57</v>
      </c>
      <c r="U50" s="343">
        <v>159.36000000000001</v>
      </c>
      <c r="V50" s="343">
        <v>470.21</v>
      </c>
      <c r="W50" s="343">
        <v>593.69000000000005</v>
      </c>
      <c r="X50" s="343">
        <v>1233.5899999999999</v>
      </c>
      <c r="Y50" s="343">
        <v>2161.73</v>
      </c>
      <c r="Z50" s="343">
        <v>3927.5</v>
      </c>
    </row>
    <row r="51" spans="1:26" ht="13.5" hidden="1">
      <c r="A51" s="134">
        <v>4</v>
      </c>
      <c r="B51" s="135" t="s">
        <v>35</v>
      </c>
      <c r="C51" s="136"/>
      <c r="D51" s="136"/>
      <c r="E51" s="136"/>
      <c r="F51" s="136"/>
      <c r="G51" s="136"/>
      <c r="H51" s="136"/>
      <c r="I51" s="136"/>
      <c r="J51" s="136"/>
      <c r="K51" s="136"/>
      <c r="L51" s="136"/>
      <c r="M51" s="136"/>
      <c r="N51" s="137">
        <f t="shared" si="0"/>
        <v>225</v>
      </c>
      <c r="O51" s="137"/>
      <c r="P51" s="137"/>
      <c r="Q51" s="137"/>
      <c r="R51" s="137"/>
      <c r="S51" s="137"/>
      <c r="T51" s="137"/>
      <c r="U51" s="137"/>
      <c r="V51" s="137"/>
      <c r="W51" s="137"/>
      <c r="X51" s="137"/>
      <c r="Y51" s="137"/>
      <c r="Z51" s="137"/>
    </row>
    <row r="52" spans="1:26" ht="13.5" hidden="1">
      <c r="A52" s="134">
        <v>4</v>
      </c>
      <c r="B52" s="135" t="s">
        <v>214</v>
      </c>
      <c r="C52" s="342">
        <v>1.05</v>
      </c>
      <c r="D52" s="342">
        <v>1.56</v>
      </c>
      <c r="E52" s="342">
        <v>3.87</v>
      </c>
      <c r="F52" s="342">
        <v>6.65</v>
      </c>
      <c r="G52" s="342">
        <v>9.35</v>
      </c>
      <c r="H52" s="342">
        <v>12.22</v>
      </c>
      <c r="I52" s="342"/>
      <c r="J52" s="342"/>
      <c r="K52" s="342"/>
      <c r="L52" s="342"/>
      <c r="M52" s="342"/>
      <c r="N52" s="137">
        <f t="shared" si="0"/>
        <v>40</v>
      </c>
      <c r="O52" s="137"/>
      <c r="P52" s="343">
        <v>0.73</v>
      </c>
      <c r="Q52" s="343">
        <v>1.08</v>
      </c>
      <c r="R52" s="343">
        <v>2.68</v>
      </c>
      <c r="S52" s="343">
        <v>4.6100000000000003</v>
      </c>
      <c r="T52" s="343">
        <v>6.49</v>
      </c>
      <c r="U52" s="343">
        <v>8.48</v>
      </c>
      <c r="V52" s="343"/>
      <c r="W52" s="343"/>
      <c r="X52" s="343"/>
      <c r="Y52" s="343"/>
      <c r="Z52" s="343"/>
    </row>
    <row r="53" spans="1:26" ht="13.5" hidden="1">
      <c r="A53" s="134">
        <v>4</v>
      </c>
      <c r="B53" s="135" t="s">
        <v>215</v>
      </c>
      <c r="C53" s="342">
        <v>2.44</v>
      </c>
      <c r="D53" s="342">
        <v>3.83</v>
      </c>
      <c r="E53" s="342">
        <v>8.75</v>
      </c>
      <c r="F53" s="342">
        <v>16.61</v>
      </c>
      <c r="G53" s="342">
        <v>23.69</v>
      </c>
      <c r="H53" s="342">
        <v>29.31</v>
      </c>
      <c r="I53" s="342">
        <v>97.51</v>
      </c>
      <c r="J53" s="342">
        <v>132.54</v>
      </c>
      <c r="K53" s="342">
        <v>268.05</v>
      </c>
      <c r="L53" s="342">
        <v>402.31</v>
      </c>
      <c r="M53" s="342">
        <v>729.88</v>
      </c>
      <c r="N53" s="137">
        <f t="shared" si="0"/>
        <v>55</v>
      </c>
      <c r="O53" s="137"/>
      <c r="P53" s="343">
        <v>1.69</v>
      </c>
      <c r="Q53" s="343">
        <v>2.66</v>
      </c>
      <c r="R53" s="343">
        <v>6.07</v>
      </c>
      <c r="S53" s="343">
        <v>11.53</v>
      </c>
      <c r="T53" s="343">
        <v>16.45</v>
      </c>
      <c r="U53" s="343">
        <v>20.350000000000001</v>
      </c>
      <c r="V53" s="343">
        <v>67.709999999999994</v>
      </c>
      <c r="W53" s="343">
        <v>92.04</v>
      </c>
      <c r="X53" s="343">
        <v>186.14</v>
      </c>
      <c r="Y53" s="343">
        <v>279.38</v>
      </c>
      <c r="Z53" s="343">
        <v>506.86</v>
      </c>
    </row>
    <row r="54" spans="1:26" ht="13.5" hidden="1">
      <c r="A54" s="134">
        <v>4</v>
      </c>
      <c r="B54" s="135" t="s">
        <v>216</v>
      </c>
      <c r="C54" s="342">
        <v>4.4000000000000004</v>
      </c>
      <c r="D54" s="342">
        <v>7.65</v>
      </c>
      <c r="E54" s="342">
        <v>16.25</v>
      </c>
      <c r="F54" s="342">
        <v>33.630000000000003</v>
      </c>
      <c r="G54" s="342">
        <v>44.87</v>
      </c>
      <c r="H54" s="342">
        <v>56.17</v>
      </c>
      <c r="I54" s="342">
        <v>163.5</v>
      </c>
      <c r="J54" s="342">
        <v>244.85</v>
      </c>
      <c r="K54" s="342">
        <v>453.6</v>
      </c>
      <c r="L54" s="342">
        <v>828.74</v>
      </c>
      <c r="M54" s="342">
        <v>1342.44</v>
      </c>
      <c r="N54" s="137">
        <f t="shared" si="0"/>
        <v>80</v>
      </c>
      <c r="O54" s="137"/>
      <c r="P54" s="343">
        <v>2.87</v>
      </c>
      <c r="Q54" s="343">
        <v>5.3</v>
      </c>
      <c r="R54" s="343">
        <v>11.28</v>
      </c>
      <c r="S54" s="343">
        <v>23.34</v>
      </c>
      <c r="T54" s="343">
        <v>31.15</v>
      </c>
      <c r="U54" s="343">
        <v>39</v>
      </c>
      <c r="V54" s="343">
        <v>113.53</v>
      </c>
      <c r="W54" s="343">
        <v>170.02</v>
      </c>
      <c r="X54" s="343">
        <v>314.99</v>
      </c>
      <c r="Y54" s="343">
        <v>575.5</v>
      </c>
      <c r="Z54" s="343">
        <v>932.24</v>
      </c>
    </row>
    <row r="55" spans="1:26" ht="13.5" hidden="1">
      <c r="A55" s="134">
        <v>4</v>
      </c>
      <c r="B55" s="135" t="s">
        <v>217</v>
      </c>
      <c r="C55" s="342">
        <v>8.3699999999999992</v>
      </c>
      <c r="D55" s="342">
        <v>15.59</v>
      </c>
      <c r="E55" s="342">
        <v>29.83</v>
      </c>
      <c r="F55" s="342">
        <v>67.23</v>
      </c>
      <c r="G55" s="342">
        <v>103.43</v>
      </c>
      <c r="H55" s="342">
        <v>135.94</v>
      </c>
      <c r="I55" s="342">
        <v>350.99</v>
      </c>
      <c r="J55" s="342">
        <v>453.73</v>
      </c>
      <c r="K55" s="342">
        <v>940.16</v>
      </c>
      <c r="L55" s="342">
        <v>1794.24</v>
      </c>
      <c r="M55" s="342">
        <v>3258.35</v>
      </c>
      <c r="N55" s="137">
        <f t="shared" si="0"/>
        <v>105</v>
      </c>
      <c r="O55" s="137"/>
      <c r="P55" s="343">
        <v>5.71</v>
      </c>
      <c r="Q55" s="343">
        <v>10.79</v>
      </c>
      <c r="R55" s="343">
        <v>20.69</v>
      </c>
      <c r="S55" s="343">
        <v>46.65</v>
      </c>
      <c r="T55" s="343">
        <v>71.790000000000006</v>
      </c>
      <c r="U55" s="343">
        <v>94.37</v>
      </c>
      <c r="V55" s="343">
        <v>243.71</v>
      </c>
      <c r="W55" s="343">
        <v>315.06</v>
      </c>
      <c r="X55" s="343">
        <v>652.86</v>
      </c>
      <c r="Y55" s="343">
        <v>1245.97</v>
      </c>
      <c r="Z55" s="343">
        <v>2262.71</v>
      </c>
    </row>
    <row r="56" spans="1:26" ht="13.5" hidden="1">
      <c r="A56" s="134">
        <v>4</v>
      </c>
      <c r="B56" s="135" t="s">
        <v>218</v>
      </c>
      <c r="C56" s="342">
        <v>30.55</v>
      </c>
      <c r="D56" s="342">
        <v>63.39</v>
      </c>
      <c r="E56" s="342">
        <v>115.37</v>
      </c>
      <c r="F56" s="342">
        <v>264.45</v>
      </c>
      <c r="G56" s="342">
        <v>361.65</v>
      </c>
      <c r="H56" s="342">
        <v>378.08</v>
      </c>
      <c r="I56" s="342">
        <v>1319.62</v>
      </c>
      <c r="J56" s="342">
        <v>1787.64</v>
      </c>
      <c r="K56" s="342">
        <v>3702.61</v>
      </c>
      <c r="L56" s="342">
        <v>6323.74</v>
      </c>
      <c r="M56" s="342">
        <v>11482.06</v>
      </c>
      <c r="N56" s="137">
        <f t="shared" si="0"/>
        <v>157.5</v>
      </c>
      <c r="O56" s="137"/>
      <c r="P56" s="343">
        <v>21</v>
      </c>
      <c r="Q56" s="343">
        <v>36.51</v>
      </c>
      <c r="R56" s="343">
        <v>79.900000000000006</v>
      </c>
      <c r="S56" s="343">
        <v>183.43</v>
      </c>
      <c r="T56" s="343">
        <v>250.92</v>
      </c>
      <c r="U56" s="343">
        <v>262.33999999999997</v>
      </c>
      <c r="V56" s="343">
        <v>916.19</v>
      </c>
      <c r="W56" s="343">
        <v>1241.2</v>
      </c>
      <c r="X56" s="343">
        <v>2571.04</v>
      </c>
      <c r="Y56" s="343">
        <v>4391.2700000000004</v>
      </c>
      <c r="Z56" s="343">
        <v>7973.44</v>
      </c>
    </row>
    <row r="57" spans="1:26" ht="13.5" hidden="1">
      <c r="A57" s="134">
        <v>4</v>
      </c>
      <c r="B57" s="135" t="s">
        <v>219</v>
      </c>
      <c r="C57" s="342">
        <v>47.18</v>
      </c>
      <c r="D57" s="342">
        <v>93.16</v>
      </c>
      <c r="E57" s="342">
        <v>162.03</v>
      </c>
      <c r="F57" s="342">
        <v>373.39</v>
      </c>
      <c r="G57" s="342">
        <v>546.92999999999995</v>
      </c>
      <c r="H57" s="342">
        <v>661.18</v>
      </c>
      <c r="I57" s="342">
        <v>2305.67</v>
      </c>
      <c r="J57" s="342">
        <v>3244.54</v>
      </c>
      <c r="K57" s="342">
        <v>6402.62</v>
      </c>
      <c r="L57" s="342">
        <v>11158.41</v>
      </c>
      <c r="M57" s="342">
        <v>19457.55</v>
      </c>
      <c r="N57" s="137">
        <f t="shared" si="0"/>
        <v>200</v>
      </c>
      <c r="O57" s="137"/>
      <c r="P57" s="343">
        <v>28.62</v>
      </c>
      <c r="Q57" s="343">
        <v>64.11</v>
      </c>
      <c r="R57" s="343">
        <v>111.93</v>
      </c>
      <c r="S57" s="343">
        <v>258.70999999999998</v>
      </c>
      <c r="T57" s="343">
        <v>379.23</v>
      </c>
      <c r="U57" s="343">
        <v>458.57</v>
      </c>
      <c r="V57" s="343">
        <v>1600.58</v>
      </c>
      <c r="W57" s="343">
        <v>2252.56</v>
      </c>
      <c r="X57" s="343">
        <v>4445.68</v>
      </c>
      <c r="Y57" s="343">
        <v>7748.31</v>
      </c>
      <c r="Z57" s="343">
        <v>13511.6</v>
      </c>
    </row>
    <row r="58" spans="1:26" ht="13.5" hidden="1">
      <c r="A58" s="134">
        <v>4</v>
      </c>
      <c r="B58" s="135" t="s">
        <v>220</v>
      </c>
      <c r="C58" s="342">
        <v>69.83</v>
      </c>
      <c r="D58" s="342">
        <v>120.68</v>
      </c>
      <c r="E58" s="342">
        <v>256.27999999999997</v>
      </c>
      <c r="F58" s="342">
        <v>577.47</v>
      </c>
      <c r="G58" s="342">
        <v>818.87</v>
      </c>
      <c r="H58" s="342">
        <v>1059.49</v>
      </c>
      <c r="I58" s="342">
        <v>3509.5</v>
      </c>
      <c r="J58" s="342">
        <v>5133.76</v>
      </c>
      <c r="K58" s="342">
        <v>10144.709999999999</v>
      </c>
      <c r="L58" s="342">
        <v>17810.28</v>
      </c>
      <c r="M58" s="342">
        <v>30664.14</v>
      </c>
      <c r="N58" s="137">
        <f t="shared" si="0"/>
        <v>235</v>
      </c>
      <c r="O58" s="137"/>
      <c r="P58" s="343">
        <v>47.15</v>
      </c>
      <c r="Q58" s="343">
        <v>67.989999999999995</v>
      </c>
      <c r="R58" s="343">
        <v>175.31</v>
      </c>
      <c r="S58" s="343">
        <v>399.68</v>
      </c>
      <c r="T58" s="343">
        <v>567.32000000000005</v>
      </c>
      <c r="U58" s="343">
        <v>734.41</v>
      </c>
      <c r="V58" s="343">
        <v>2435.81</v>
      </c>
      <c r="W58" s="343">
        <v>3563.77</v>
      </c>
      <c r="X58" s="343">
        <v>7043.59</v>
      </c>
      <c r="Y58" s="343">
        <v>12366.91</v>
      </c>
      <c r="Z58" s="343">
        <v>21293.200000000001</v>
      </c>
    </row>
    <row r="59" spans="1:26" ht="13.5" hidden="1">
      <c r="A59" s="134">
        <v>4</v>
      </c>
      <c r="B59" s="135" t="s">
        <v>480</v>
      </c>
      <c r="C59" s="136">
        <v>3.5</v>
      </c>
      <c r="D59" s="136">
        <v>9.0500000000000007</v>
      </c>
      <c r="E59" s="136">
        <v>11.33</v>
      </c>
      <c r="F59" s="136">
        <v>29.6</v>
      </c>
      <c r="G59" s="136">
        <v>38.57</v>
      </c>
      <c r="H59" s="136">
        <v>0</v>
      </c>
      <c r="I59" s="136">
        <v>0</v>
      </c>
      <c r="J59" s="136">
        <v>0</v>
      </c>
      <c r="K59" s="136">
        <v>0</v>
      </c>
      <c r="L59" s="136">
        <v>0</v>
      </c>
      <c r="M59" s="136">
        <v>0</v>
      </c>
      <c r="N59" s="137">
        <f t="shared" si="0"/>
        <v>55</v>
      </c>
      <c r="O59" s="137"/>
      <c r="P59" s="137">
        <v>1.98</v>
      </c>
      <c r="Q59" s="137">
        <v>5.2</v>
      </c>
      <c r="R59" s="137">
        <v>6.59</v>
      </c>
      <c r="S59" s="137">
        <v>17.13</v>
      </c>
      <c r="T59" s="137">
        <v>22.15</v>
      </c>
      <c r="U59" s="137">
        <v>0</v>
      </c>
      <c r="V59" s="137">
        <v>0</v>
      </c>
      <c r="W59" s="137">
        <v>0</v>
      </c>
      <c r="X59" s="137">
        <v>0</v>
      </c>
      <c r="Y59" s="137">
        <v>0</v>
      </c>
      <c r="Z59" s="137">
        <v>0</v>
      </c>
    </row>
    <row r="60" spans="1:26" ht="13.5" hidden="1">
      <c r="A60" s="134">
        <v>4</v>
      </c>
      <c r="B60" s="135" t="s">
        <v>481</v>
      </c>
      <c r="C60" s="136">
        <v>7.61</v>
      </c>
      <c r="D60" s="136">
        <v>12.89</v>
      </c>
      <c r="E60" s="136">
        <v>17.809999999999999</v>
      </c>
      <c r="F60" s="136">
        <v>58</v>
      </c>
      <c r="G60" s="136">
        <v>73.64</v>
      </c>
      <c r="H60" s="136">
        <v>91.73</v>
      </c>
      <c r="I60" s="136">
        <v>0</v>
      </c>
      <c r="J60" s="136">
        <v>0</v>
      </c>
      <c r="K60" s="136">
        <v>0</v>
      </c>
      <c r="L60" s="136">
        <v>0</v>
      </c>
      <c r="M60" s="136">
        <v>0</v>
      </c>
      <c r="N60" s="137">
        <f t="shared" si="0"/>
        <v>80</v>
      </c>
      <c r="O60" s="137"/>
      <c r="P60" s="137">
        <v>4.3499999999999996</v>
      </c>
      <c r="Q60" s="137">
        <v>8.18</v>
      </c>
      <c r="R60" s="137">
        <v>10.28</v>
      </c>
      <c r="S60" s="137">
        <v>38.18</v>
      </c>
      <c r="T60" s="137">
        <v>42.3</v>
      </c>
      <c r="U60" s="137">
        <v>52.72</v>
      </c>
      <c r="V60" s="137">
        <v>0</v>
      </c>
      <c r="W60" s="137">
        <v>0</v>
      </c>
      <c r="X60" s="137">
        <v>0</v>
      </c>
      <c r="Y60" s="137">
        <v>0</v>
      </c>
      <c r="Z60" s="137">
        <v>0</v>
      </c>
    </row>
    <row r="61" spans="1:26" ht="13.5" hidden="1">
      <c r="A61" s="134">
        <v>4</v>
      </c>
      <c r="B61" s="135" t="s">
        <v>403</v>
      </c>
      <c r="C61" s="136">
        <v>12.83</v>
      </c>
      <c r="D61" s="136">
        <v>21.56</v>
      </c>
      <c r="E61" s="136">
        <v>40.97</v>
      </c>
      <c r="F61" s="136">
        <v>69.77</v>
      </c>
      <c r="G61" s="136">
        <v>161.83000000000001</v>
      </c>
      <c r="H61" s="136">
        <v>172.01</v>
      </c>
      <c r="I61" s="136">
        <v>347.51</v>
      </c>
      <c r="J61" s="136">
        <v>589.14</v>
      </c>
      <c r="K61" s="136">
        <v>0</v>
      </c>
      <c r="L61" s="136">
        <v>0</v>
      </c>
      <c r="M61" s="136">
        <v>0</v>
      </c>
      <c r="N61" s="137">
        <f t="shared" si="0"/>
        <v>105</v>
      </c>
      <c r="O61" s="137"/>
      <c r="P61" s="137">
        <v>7.41</v>
      </c>
      <c r="Q61" s="137">
        <v>12.48</v>
      </c>
      <c r="R61" s="137">
        <v>23.71</v>
      </c>
      <c r="S61" s="137">
        <v>40.5</v>
      </c>
      <c r="T61" s="137">
        <v>93.44</v>
      </c>
      <c r="U61" s="137">
        <v>99.69</v>
      </c>
      <c r="V61" s="137">
        <v>201.56</v>
      </c>
      <c r="W61" s="137">
        <v>340.94</v>
      </c>
      <c r="X61" s="137">
        <v>0</v>
      </c>
      <c r="Y61" s="137">
        <v>0</v>
      </c>
      <c r="Z61" s="137">
        <v>0</v>
      </c>
    </row>
    <row r="62" spans="1:26" ht="13.5" hidden="1">
      <c r="A62" s="134">
        <v>4</v>
      </c>
      <c r="B62" s="135" t="s">
        <v>404</v>
      </c>
      <c r="C62" s="136">
        <v>45.64</v>
      </c>
      <c r="D62" s="136">
        <v>91.36</v>
      </c>
      <c r="E62" s="136">
        <v>194.84</v>
      </c>
      <c r="F62" s="136">
        <v>304.69</v>
      </c>
      <c r="G62" s="136">
        <v>583.11</v>
      </c>
      <c r="H62" s="136">
        <v>701.65</v>
      </c>
      <c r="I62" s="136">
        <v>1218.78</v>
      </c>
      <c r="J62" s="136">
        <v>1734.63</v>
      </c>
      <c r="K62" s="136">
        <v>3640.51</v>
      </c>
      <c r="L62" s="136">
        <v>2621.15</v>
      </c>
      <c r="M62" s="136">
        <v>0</v>
      </c>
      <c r="N62" s="137">
        <f t="shared" si="0"/>
        <v>157.5</v>
      </c>
      <c r="O62" s="137"/>
      <c r="P62" s="137">
        <v>26.43</v>
      </c>
      <c r="Q62" s="137">
        <v>52.85</v>
      </c>
      <c r="R62" s="137">
        <v>112.85</v>
      </c>
      <c r="S62" s="137">
        <v>176.45</v>
      </c>
      <c r="T62" s="137">
        <v>337.25</v>
      </c>
      <c r="U62" s="137">
        <v>405.62</v>
      </c>
      <c r="V62" s="137">
        <v>705.82</v>
      </c>
      <c r="W62" s="137">
        <v>1003.52</v>
      </c>
      <c r="X62" s="137">
        <v>2106.7800000000002</v>
      </c>
      <c r="Y62" s="137">
        <v>1515.12</v>
      </c>
      <c r="Z62" s="137">
        <v>0</v>
      </c>
    </row>
    <row r="63" spans="1:26" ht="13.5" hidden="1">
      <c r="A63" s="134">
        <v>4</v>
      </c>
      <c r="B63" s="135" t="s">
        <v>405</v>
      </c>
      <c r="C63" s="136">
        <v>37.92</v>
      </c>
      <c r="D63" s="136">
        <v>181.15</v>
      </c>
      <c r="E63" s="136">
        <v>321.43</v>
      </c>
      <c r="F63" s="136">
        <v>603.4</v>
      </c>
      <c r="G63" s="136">
        <v>868.55</v>
      </c>
      <c r="H63" s="136">
        <v>1403.3</v>
      </c>
      <c r="I63" s="136">
        <v>2073.1999999999998</v>
      </c>
      <c r="J63" s="136">
        <v>3534.84</v>
      </c>
      <c r="K63" s="136">
        <v>7286.91</v>
      </c>
      <c r="L63" s="136">
        <v>5037.7700000000004</v>
      </c>
      <c r="M63" s="136">
        <v>0</v>
      </c>
      <c r="N63" s="137">
        <f t="shared" si="0"/>
        <v>200</v>
      </c>
      <c r="O63" s="137"/>
      <c r="P63" s="137">
        <v>21.92</v>
      </c>
      <c r="Q63" s="137">
        <v>104.8</v>
      </c>
      <c r="R63" s="137">
        <v>186.05</v>
      </c>
      <c r="S63" s="137">
        <v>349.12</v>
      </c>
      <c r="T63" s="137">
        <v>502.2</v>
      </c>
      <c r="U63" s="137">
        <v>812.09</v>
      </c>
      <c r="V63" s="137">
        <v>1199.77</v>
      </c>
      <c r="W63" s="137">
        <v>2045.62</v>
      </c>
      <c r="X63" s="137">
        <v>4217.6400000000003</v>
      </c>
      <c r="Y63" s="137">
        <v>2912.66</v>
      </c>
      <c r="Z63" s="137">
        <v>0</v>
      </c>
    </row>
    <row r="64" spans="1:26" ht="13.5" hidden="1">
      <c r="A64" s="134">
        <v>4</v>
      </c>
      <c r="B64" s="135" t="s">
        <v>406</v>
      </c>
      <c r="C64" s="136">
        <v>65.150000000000006</v>
      </c>
      <c r="D64" s="136">
        <v>259.87</v>
      </c>
      <c r="E64" s="136">
        <v>569.09</v>
      </c>
      <c r="F64" s="136">
        <v>1480.56</v>
      </c>
      <c r="G64" s="136">
        <v>2210.1799999999998</v>
      </c>
      <c r="H64" s="136">
        <v>2276.35</v>
      </c>
      <c r="I64" s="136">
        <v>4435.1099999999997</v>
      </c>
      <c r="J64" s="136">
        <v>7069.67</v>
      </c>
      <c r="K64" s="136">
        <v>10691.79</v>
      </c>
      <c r="L64" s="136">
        <v>18944.52</v>
      </c>
      <c r="M64" s="136">
        <v>0</v>
      </c>
      <c r="N64" s="137">
        <f t="shared" si="0"/>
        <v>235</v>
      </c>
      <c r="O64" s="137"/>
      <c r="P64" s="137">
        <v>37.72</v>
      </c>
      <c r="Q64" s="137">
        <v>150.38999999999999</v>
      </c>
      <c r="R64" s="137">
        <v>329.27</v>
      </c>
      <c r="S64" s="137">
        <v>856.57</v>
      </c>
      <c r="T64" s="137">
        <v>1278.51</v>
      </c>
      <c r="U64" s="137">
        <v>1317.07</v>
      </c>
      <c r="V64" s="137">
        <v>2566.62</v>
      </c>
      <c r="W64" s="137">
        <v>4091.25</v>
      </c>
      <c r="X64" s="137">
        <v>6185.33</v>
      </c>
      <c r="Y64" s="137">
        <v>10967.13</v>
      </c>
      <c r="Z64" s="137">
        <v>0</v>
      </c>
    </row>
    <row r="65" spans="1:26" ht="13.5" hidden="1">
      <c r="A65" s="134">
        <v>4</v>
      </c>
      <c r="B65" s="135" t="s">
        <v>482</v>
      </c>
      <c r="C65" s="136">
        <v>231.74</v>
      </c>
      <c r="D65" s="136">
        <v>393.53</v>
      </c>
      <c r="E65" s="136">
        <v>862</v>
      </c>
      <c r="F65" s="136">
        <v>1978.88</v>
      </c>
      <c r="G65" s="136">
        <v>2562.42</v>
      </c>
      <c r="H65" s="136">
        <v>3447.99</v>
      </c>
      <c r="I65" s="136">
        <v>6651.22</v>
      </c>
      <c r="J65" s="136">
        <v>10994.88</v>
      </c>
      <c r="K65" s="136">
        <v>17809.88</v>
      </c>
      <c r="L65" s="136">
        <v>33671.81</v>
      </c>
      <c r="M65" s="136">
        <v>0</v>
      </c>
      <c r="N65" s="137">
        <f t="shared" si="0"/>
        <v>300</v>
      </c>
      <c r="O65" s="137"/>
      <c r="P65" s="137">
        <v>134.08000000000001</v>
      </c>
      <c r="Q65" s="137">
        <v>273.29000000000002</v>
      </c>
      <c r="R65" s="137">
        <v>553.99</v>
      </c>
      <c r="S65" s="137">
        <v>1145.8900000000001</v>
      </c>
      <c r="T65" s="137">
        <v>1688.03</v>
      </c>
      <c r="U65" s="137">
        <v>2204.09</v>
      </c>
      <c r="V65" s="137">
        <v>4618.8999999999996</v>
      </c>
      <c r="W65" s="137">
        <v>7503.14</v>
      </c>
      <c r="X65" s="137">
        <v>11249.78</v>
      </c>
      <c r="Y65" s="137">
        <v>21934.26</v>
      </c>
      <c r="Z65" s="137">
        <v>0</v>
      </c>
    </row>
    <row r="66" spans="1:26" ht="13.5" hidden="1">
      <c r="A66" s="134">
        <v>4</v>
      </c>
      <c r="B66" s="135" t="s">
        <v>483</v>
      </c>
      <c r="C66" s="136">
        <v>160.79</v>
      </c>
      <c r="D66" s="136">
        <v>397.61</v>
      </c>
      <c r="E66" s="136">
        <v>1548.41</v>
      </c>
      <c r="F66" s="136">
        <v>3275.98</v>
      </c>
      <c r="G66" s="136">
        <v>4550.4399999999996</v>
      </c>
      <c r="H66" s="136">
        <v>6193.65</v>
      </c>
      <c r="I66" s="136">
        <v>9882.4</v>
      </c>
      <c r="J66" s="136">
        <v>15855.75</v>
      </c>
      <c r="K66" s="136">
        <v>24774.62</v>
      </c>
      <c r="L66" s="136">
        <v>37146.449999999997</v>
      </c>
      <c r="M66" s="136">
        <v>0</v>
      </c>
      <c r="N66" s="137">
        <f t="shared" si="0"/>
        <v>350</v>
      </c>
      <c r="O66" s="137"/>
      <c r="P66" s="137">
        <v>93.08</v>
      </c>
      <c r="Q66" s="137">
        <v>230.07</v>
      </c>
      <c r="R66" s="137">
        <v>1015.55</v>
      </c>
      <c r="S66" s="137">
        <v>2274.9899999999998</v>
      </c>
      <c r="T66" s="137">
        <v>3154.93</v>
      </c>
      <c r="U66" s="137">
        <v>4062.19</v>
      </c>
      <c r="V66" s="137">
        <v>6002.96</v>
      </c>
      <c r="W66" s="137">
        <v>10203.4</v>
      </c>
      <c r="X66" s="137">
        <v>16248.74</v>
      </c>
      <c r="Y66" s="137">
        <v>21873.58</v>
      </c>
      <c r="Z66" s="137">
        <v>0</v>
      </c>
    </row>
    <row r="67" spans="1:26" ht="13.5" hidden="1">
      <c r="A67" s="134">
        <v>4</v>
      </c>
      <c r="B67" s="135" t="s">
        <v>484</v>
      </c>
      <c r="C67" s="136">
        <v>206.18</v>
      </c>
      <c r="D67" s="136">
        <v>674.99</v>
      </c>
      <c r="E67" s="136">
        <v>1804.3</v>
      </c>
      <c r="F67" s="136">
        <v>3839.51</v>
      </c>
      <c r="G67" s="136">
        <v>5592.63</v>
      </c>
      <c r="H67" s="136">
        <v>6957.69</v>
      </c>
      <c r="I67" s="136">
        <v>11758.49</v>
      </c>
      <c r="J67" s="136">
        <v>17371.38</v>
      </c>
      <c r="K67" s="136">
        <v>38871.06</v>
      </c>
      <c r="L67" s="136">
        <v>40210.230000000003</v>
      </c>
      <c r="M67" s="136">
        <v>0</v>
      </c>
      <c r="N67" s="137">
        <f t="shared" si="0"/>
        <v>425</v>
      </c>
      <c r="O67" s="137"/>
      <c r="P67" s="137">
        <v>119.32</v>
      </c>
      <c r="Q67" s="137">
        <v>390.56</v>
      </c>
      <c r="R67" s="137">
        <v>1044.22</v>
      </c>
      <c r="S67" s="137">
        <v>2619.61</v>
      </c>
      <c r="T67" s="137">
        <v>3376.65</v>
      </c>
      <c r="U67" s="137">
        <v>4685.57</v>
      </c>
      <c r="V67" s="137">
        <v>7018.96</v>
      </c>
      <c r="W67" s="137">
        <v>10052.56</v>
      </c>
      <c r="X67" s="137">
        <v>25874.49</v>
      </c>
      <c r="Y67" s="137">
        <v>23272.49</v>
      </c>
      <c r="Z67" s="137">
        <v>0</v>
      </c>
    </row>
    <row r="68" spans="1:26" ht="13.5" hidden="1">
      <c r="A68" s="134">
        <v>5</v>
      </c>
      <c r="B68" s="135" t="s">
        <v>30</v>
      </c>
      <c r="C68" s="342">
        <v>1.64</v>
      </c>
      <c r="D68" s="342">
        <v>2.4300000000000002</v>
      </c>
      <c r="E68" s="342">
        <v>6.04</v>
      </c>
      <c r="F68" s="342">
        <v>10.39</v>
      </c>
      <c r="G68" s="342">
        <v>14.61</v>
      </c>
      <c r="H68" s="342">
        <v>19.09</v>
      </c>
      <c r="I68" s="342"/>
      <c r="J68" s="342"/>
      <c r="K68" s="342"/>
      <c r="L68" s="342"/>
      <c r="M68" s="342"/>
      <c r="N68" s="137">
        <f t="shared" si="0"/>
        <v>37.5</v>
      </c>
      <c r="O68" s="137"/>
      <c r="P68" s="343">
        <v>1.1399999999999999</v>
      </c>
      <c r="Q68" s="343">
        <v>1.69</v>
      </c>
      <c r="R68" s="343">
        <v>4.1900000000000004</v>
      </c>
      <c r="S68" s="343">
        <v>7.21</v>
      </c>
      <c r="T68" s="343">
        <v>10.15</v>
      </c>
      <c r="U68" s="343">
        <v>13.25</v>
      </c>
      <c r="V68" s="343"/>
      <c r="W68" s="343"/>
      <c r="X68" s="343"/>
      <c r="Y68" s="343"/>
      <c r="Z68" s="343"/>
    </row>
    <row r="69" spans="1:26" ht="13.5" hidden="1">
      <c r="A69" s="134">
        <v>5</v>
      </c>
      <c r="B69" s="135" t="s">
        <v>31</v>
      </c>
      <c r="C69" s="342">
        <v>3.83</v>
      </c>
      <c r="D69" s="342">
        <v>6</v>
      </c>
      <c r="E69" s="342">
        <v>13.45</v>
      </c>
      <c r="F69" s="342">
        <v>25.97</v>
      </c>
      <c r="G69" s="342">
        <v>37.020000000000003</v>
      </c>
      <c r="H69" s="342">
        <v>45.81</v>
      </c>
      <c r="I69" s="342">
        <v>99.18</v>
      </c>
      <c r="J69" s="342">
        <v>148.52000000000001</v>
      </c>
      <c r="K69" s="342">
        <v>272.62</v>
      </c>
      <c r="L69" s="342">
        <v>531.92999999999995</v>
      </c>
      <c r="M69" s="342">
        <v>861.64</v>
      </c>
      <c r="N69" s="137">
        <f t="shared" si="0"/>
        <v>50</v>
      </c>
      <c r="O69" s="137"/>
      <c r="P69" s="343">
        <v>2.65</v>
      </c>
      <c r="Q69" s="343">
        <v>4.16</v>
      </c>
      <c r="R69" s="343">
        <v>9.34</v>
      </c>
      <c r="S69" s="343">
        <v>18.03</v>
      </c>
      <c r="T69" s="343">
        <v>25.71</v>
      </c>
      <c r="U69" s="343">
        <v>31.81</v>
      </c>
      <c r="V69" s="343">
        <v>68.87</v>
      </c>
      <c r="W69" s="343">
        <v>103.13</v>
      </c>
      <c r="X69" s="343">
        <v>189.32</v>
      </c>
      <c r="Y69" s="343">
        <v>369.39</v>
      </c>
      <c r="Z69" s="343">
        <v>598.36</v>
      </c>
    </row>
    <row r="70" spans="1:26" ht="13.5" hidden="1">
      <c r="A70" s="134">
        <v>5</v>
      </c>
      <c r="B70" s="135" t="s">
        <v>32</v>
      </c>
      <c r="C70" s="342">
        <v>6.91</v>
      </c>
      <c r="D70" s="342">
        <v>11.98</v>
      </c>
      <c r="E70" s="342">
        <v>24.73</v>
      </c>
      <c r="F70" s="342">
        <v>50.5</v>
      </c>
      <c r="G70" s="342">
        <v>70.13</v>
      </c>
      <c r="H70" s="342">
        <v>87.79</v>
      </c>
      <c r="I70" s="342">
        <v>182.4</v>
      </c>
      <c r="J70" s="342">
        <v>273.14999999999998</v>
      </c>
      <c r="K70" s="342">
        <v>501.41</v>
      </c>
      <c r="L70" s="342">
        <v>978.35</v>
      </c>
      <c r="M70" s="342">
        <v>1584.79</v>
      </c>
      <c r="N70" s="137">
        <f t="shared" si="0"/>
        <v>75</v>
      </c>
      <c r="O70" s="137"/>
      <c r="P70" s="343">
        <v>4.51</v>
      </c>
      <c r="Q70" s="343">
        <v>8.31</v>
      </c>
      <c r="R70" s="343">
        <v>17.16</v>
      </c>
      <c r="S70" s="343">
        <v>35.06</v>
      </c>
      <c r="T70" s="343">
        <v>48.69</v>
      </c>
      <c r="U70" s="343">
        <v>60.96</v>
      </c>
      <c r="V70" s="343">
        <v>126.66</v>
      </c>
      <c r="W70" s="343">
        <v>189.68</v>
      </c>
      <c r="X70" s="343">
        <v>348.19</v>
      </c>
      <c r="Y70" s="343">
        <v>679.4</v>
      </c>
      <c r="Z70" s="343">
        <v>1100.54</v>
      </c>
    </row>
    <row r="71" spans="1:26" ht="13.5" hidden="1">
      <c r="A71" s="134">
        <v>5</v>
      </c>
      <c r="B71" s="135" t="s">
        <v>33</v>
      </c>
      <c r="C71" s="342">
        <v>11.95</v>
      </c>
      <c r="D71" s="342">
        <v>22.07</v>
      </c>
      <c r="E71" s="342">
        <v>42.95</v>
      </c>
      <c r="F71" s="342">
        <v>94.15</v>
      </c>
      <c r="G71" s="342">
        <v>121.8</v>
      </c>
      <c r="H71" s="342">
        <v>161.63999999999999</v>
      </c>
      <c r="I71" s="342">
        <v>408.25</v>
      </c>
      <c r="J71" s="342">
        <v>611.33000000000004</v>
      </c>
      <c r="K71" s="342">
        <v>1122.1600000000001</v>
      </c>
      <c r="L71" s="342">
        <v>2189.4699999999998</v>
      </c>
      <c r="M71" s="342">
        <v>3546.59</v>
      </c>
      <c r="N71" s="137">
        <f t="shared" si="0"/>
        <v>100</v>
      </c>
      <c r="O71" s="137"/>
      <c r="P71" s="343">
        <v>8.3000000000000007</v>
      </c>
      <c r="Q71" s="343">
        <v>15.32</v>
      </c>
      <c r="R71" s="343">
        <v>29.82</v>
      </c>
      <c r="S71" s="343">
        <v>65.38</v>
      </c>
      <c r="T71" s="343">
        <v>84.58</v>
      </c>
      <c r="U71" s="343">
        <v>112.24</v>
      </c>
      <c r="V71" s="343">
        <v>283.51</v>
      </c>
      <c r="W71" s="343">
        <v>424.53</v>
      </c>
      <c r="X71" s="343">
        <v>779.27</v>
      </c>
      <c r="Y71" s="343">
        <v>1520.46</v>
      </c>
      <c r="Z71" s="343">
        <v>2462.91</v>
      </c>
    </row>
    <row r="72" spans="1:26" ht="13.5" hidden="1">
      <c r="A72" s="134">
        <v>5</v>
      </c>
      <c r="B72" s="135" t="s">
        <v>34</v>
      </c>
      <c r="C72" s="342">
        <v>22.58</v>
      </c>
      <c r="D72" s="342">
        <v>49.59</v>
      </c>
      <c r="E72" s="342">
        <v>86.77</v>
      </c>
      <c r="F72" s="342">
        <v>201.88</v>
      </c>
      <c r="G72" s="342">
        <v>278.95</v>
      </c>
      <c r="H72" s="342">
        <v>359.47</v>
      </c>
      <c r="I72" s="342">
        <v>1006.2</v>
      </c>
      <c r="J72" s="342">
        <v>1336.74</v>
      </c>
      <c r="K72" s="342">
        <v>2766.95</v>
      </c>
      <c r="L72" s="342">
        <v>4864.8100000000004</v>
      </c>
      <c r="M72" s="342">
        <v>8746.5300000000007</v>
      </c>
      <c r="N72" s="137">
        <f t="shared" si="0"/>
        <v>150</v>
      </c>
      <c r="O72" s="137"/>
      <c r="P72" s="343">
        <v>12.76</v>
      </c>
      <c r="Q72" s="343">
        <v>30.46</v>
      </c>
      <c r="R72" s="343">
        <v>60.03</v>
      </c>
      <c r="S72" s="343">
        <v>139.97</v>
      </c>
      <c r="T72" s="343">
        <v>193.49</v>
      </c>
      <c r="U72" s="343">
        <v>249.41</v>
      </c>
      <c r="V72" s="343">
        <v>698.53</v>
      </c>
      <c r="W72" s="343">
        <v>928.06</v>
      </c>
      <c r="X72" s="343">
        <v>1921.27</v>
      </c>
      <c r="Y72" s="343">
        <v>3378.11</v>
      </c>
      <c r="Z72" s="343">
        <v>6073.75</v>
      </c>
    </row>
    <row r="73" spans="1:26" ht="13.5" hidden="1">
      <c r="A73" s="134">
        <v>5</v>
      </c>
      <c r="B73" s="135" t="s">
        <v>35</v>
      </c>
      <c r="C73" s="136"/>
      <c r="D73" s="136"/>
      <c r="E73" s="136"/>
      <c r="F73" s="136"/>
      <c r="G73" s="136"/>
      <c r="H73" s="136"/>
      <c r="I73" s="136"/>
      <c r="J73" s="136"/>
      <c r="K73" s="136"/>
      <c r="L73" s="136"/>
      <c r="M73" s="136"/>
      <c r="N73" s="137">
        <f t="shared" si="0"/>
        <v>225</v>
      </c>
      <c r="O73" s="137"/>
      <c r="P73" s="137"/>
      <c r="Q73" s="137"/>
      <c r="R73" s="137"/>
      <c r="S73" s="137"/>
      <c r="T73" s="137"/>
      <c r="U73" s="137"/>
      <c r="V73" s="137"/>
      <c r="W73" s="137"/>
      <c r="X73" s="137"/>
      <c r="Y73" s="137"/>
      <c r="Z73" s="137"/>
    </row>
    <row r="74" spans="1:26" ht="13.5" hidden="1">
      <c r="A74" s="134">
        <v>5</v>
      </c>
      <c r="B74" s="135" t="s">
        <v>214</v>
      </c>
      <c r="C74" s="342">
        <v>1.64</v>
      </c>
      <c r="D74" s="342">
        <v>2.4300000000000002</v>
      </c>
      <c r="E74" s="342">
        <v>6.04</v>
      </c>
      <c r="F74" s="342">
        <v>10.39</v>
      </c>
      <c r="G74" s="342">
        <v>14.61</v>
      </c>
      <c r="H74" s="342">
        <v>19.09</v>
      </c>
      <c r="I74" s="342"/>
      <c r="J74" s="342"/>
      <c r="K74" s="342"/>
      <c r="L74" s="342"/>
      <c r="M74" s="342"/>
      <c r="N74" s="137">
        <f t="shared" si="0"/>
        <v>40</v>
      </c>
      <c r="O74" s="137"/>
      <c r="P74" s="343">
        <v>1.1399999999999999</v>
      </c>
      <c r="Q74" s="343">
        <v>1.69</v>
      </c>
      <c r="R74" s="343">
        <v>4.2</v>
      </c>
      <c r="S74" s="343">
        <v>7.21</v>
      </c>
      <c r="T74" s="343">
        <v>10.15</v>
      </c>
      <c r="U74" s="343">
        <v>13.26</v>
      </c>
      <c r="V74" s="343"/>
      <c r="W74" s="343"/>
      <c r="X74" s="343"/>
      <c r="Y74" s="343"/>
      <c r="Z74" s="343"/>
    </row>
    <row r="75" spans="1:26" ht="13.5" hidden="1">
      <c r="A75" s="134">
        <v>5</v>
      </c>
      <c r="B75" s="135" t="s">
        <v>215</v>
      </c>
      <c r="C75" s="342">
        <v>3.82</v>
      </c>
      <c r="D75" s="342">
        <v>5.99</v>
      </c>
      <c r="E75" s="342">
        <v>13.67</v>
      </c>
      <c r="F75" s="342">
        <v>25.96</v>
      </c>
      <c r="G75" s="342">
        <v>37.020000000000003</v>
      </c>
      <c r="H75" s="342">
        <v>45.81</v>
      </c>
      <c r="I75" s="342">
        <v>152.37</v>
      </c>
      <c r="J75" s="342">
        <v>207.1</v>
      </c>
      <c r="K75" s="342">
        <v>418.83</v>
      </c>
      <c r="L75" s="342">
        <v>628.61</v>
      </c>
      <c r="M75" s="342">
        <v>1140.45</v>
      </c>
      <c r="N75" s="137">
        <f t="shared" si="0"/>
        <v>55</v>
      </c>
      <c r="O75" s="137"/>
      <c r="P75" s="343">
        <v>2.65</v>
      </c>
      <c r="Q75" s="343">
        <v>4.16</v>
      </c>
      <c r="R75" s="343">
        <v>9.49</v>
      </c>
      <c r="S75" s="343">
        <v>18.03</v>
      </c>
      <c r="T75" s="343">
        <v>25.7</v>
      </c>
      <c r="U75" s="343">
        <v>31.81</v>
      </c>
      <c r="V75" s="343">
        <v>105.81</v>
      </c>
      <c r="W75" s="343">
        <v>143.82</v>
      </c>
      <c r="X75" s="343">
        <v>290.85000000000002</v>
      </c>
      <c r="Y75" s="343">
        <v>436.53</v>
      </c>
      <c r="Z75" s="343">
        <v>791.97</v>
      </c>
    </row>
    <row r="76" spans="1:26" ht="13.5" hidden="1">
      <c r="A76" s="134">
        <v>5</v>
      </c>
      <c r="B76" s="135" t="s">
        <v>216</v>
      </c>
      <c r="C76" s="342">
        <v>6.9</v>
      </c>
      <c r="D76" s="342">
        <v>11.98</v>
      </c>
      <c r="E76" s="342">
        <v>25.42</v>
      </c>
      <c r="F76" s="342">
        <v>52.56</v>
      </c>
      <c r="G76" s="342">
        <v>70.13</v>
      </c>
      <c r="H76" s="342">
        <v>87.79</v>
      </c>
      <c r="I76" s="342">
        <v>255.5</v>
      </c>
      <c r="J76" s="342">
        <v>382.6</v>
      </c>
      <c r="K76" s="342">
        <v>708.77</v>
      </c>
      <c r="L76" s="342">
        <v>1294.93</v>
      </c>
      <c r="M76" s="342">
        <v>2097.59</v>
      </c>
      <c r="N76" s="137">
        <f t="shared" si="0"/>
        <v>80</v>
      </c>
      <c r="O76" s="137"/>
      <c r="P76" s="343">
        <v>4.51</v>
      </c>
      <c r="Q76" s="343">
        <v>8.31</v>
      </c>
      <c r="R76" s="343">
        <v>17.64</v>
      </c>
      <c r="S76" s="343">
        <v>36.49</v>
      </c>
      <c r="T76" s="343">
        <v>48.69</v>
      </c>
      <c r="U76" s="343">
        <v>60.95</v>
      </c>
      <c r="V76" s="343">
        <v>177.42</v>
      </c>
      <c r="W76" s="343">
        <v>265.68</v>
      </c>
      <c r="X76" s="343">
        <v>492.19</v>
      </c>
      <c r="Y76" s="343">
        <v>899.24</v>
      </c>
      <c r="Z76" s="343">
        <v>1456.65</v>
      </c>
    </row>
    <row r="77" spans="1:26" ht="13.5" hidden="1">
      <c r="A77" s="134">
        <v>5</v>
      </c>
      <c r="B77" s="135" t="s">
        <v>217</v>
      </c>
      <c r="C77" s="342">
        <v>13.14</v>
      </c>
      <c r="D77" s="342">
        <v>24.41</v>
      </c>
      <c r="E77" s="342">
        <v>46.67</v>
      </c>
      <c r="F77" s="342">
        <v>105.1</v>
      </c>
      <c r="G77" s="342">
        <v>161.66</v>
      </c>
      <c r="H77" s="342">
        <v>212.46</v>
      </c>
      <c r="I77" s="342">
        <v>548.47</v>
      </c>
      <c r="J77" s="342">
        <v>709</v>
      </c>
      <c r="K77" s="342">
        <v>1469.06</v>
      </c>
      <c r="L77" s="342">
        <v>2803.55</v>
      </c>
      <c r="M77" s="342">
        <v>5091.22</v>
      </c>
      <c r="N77" s="137">
        <f t="shared" si="0"/>
        <v>105</v>
      </c>
      <c r="O77" s="137"/>
      <c r="P77" s="343">
        <v>8.98</v>
      </c>
      <c r="Q77" s="343">
        <v>16.920000000000002</v>
      </c>
      <c r="R77" s="343">
        <v>32.380000000000003</v>
      </c>
      <c r="S77" s="343">
        <v>72.95</v>
      </c>
      <c r="T77" s="343">
        <v>112.23</v>
      </c>
      <c r="U77" s="343">
        <v>147.51</v>
      </c>
      <c r="V77" s="343">
        <v>380.85</v>
      </c>
      <c r="W77" s="343">
        <v>492.33</v>
      </c>
      <c r="X77" s="343">
        <v>1020.15</v>
      </c>
      <c r="Y77" s="343">
        <v>1946.88</v>
      </c>
      <c r="Z77" s="343">
        <v>3535.54</v>
      </c>
    </row>
    <row r="78" spans="1:26" ht="13.5" hidden="1">
      <c r="A78" s="134">
        <v>5</v>
      </c>
      <c r="B78" s="135" t="s">
        <v>218</v>
      </c>
      <c r="C78" s="342">
        <v>48.12</v>
      </c>
      <c r="D78" s="342">
        <v>99.44</v>
      </c>
      <c r="E78" s="342">
        <v>180.64</v>
      </c>
      <c r="F78" s="342">
        <v>413.58</v>
      </c>
      <c r="G78" s="342">
        <v>565.46</v>
      </c>
      <c r="H78" s="342">
        <v>591.13</v>
      </c>
      <c r="I78" s="342">
        <v>2062.29</v>
      </c>
      <c r="J78" s="342">
        <v>2793.57</v>
      </c>
      <c r="K78" s="342">
        <v>5785.72</v>
      </c>
      <c r="L78" s="342">
        <v>9881.2199999999993</v>
      </c>
      <c r="M78" s="342">
        <v>17941.11</v>
      </c>
      <c r="N78" s="137">
        <f t="shared" si="0"/>
        <v>157.5</v>
      </c>
      <c r="O78" s="137"/>
      <c r="P78" s="343">
        <v>33.19</v>
      </c>
      <c r="Q78" s="343">
        <v>57.43</v>
      </c>
      <c r="R78" s="343">
        <v>125.22</v>
      </c>
      <c r="S78" s="343">
        <v>286.99</v>
      </c>
      <c r="T78" s="343">
        <v>392.45</v>
      </c>
      <c r="U78" s="343">
        <v>410.28</v>
      </c>
      <c r="V78" s="343">
        <v>1431.92</v>
      </c>
      <c r="W78" s="343">
        <v>1939.76</v>
      </c>
      <c r="X78" s="343">
        <v>4017.64</v>
      </c>
      <c r="Y78" s="343">
        <v>6861.74</v>
      </c>
      <c r="Z78" s="343">
        <v>12458.88</v>
      </c>
    </row>
    <row r="79" spans="1:26" ht="13.5" hidden="1">
      <c r="A79" s="134">
        <v>5</v>
      </c>
      <c r="B79" s="135" t="s">
        <v>219</v>
      </c>
      <c r="C79" s="342">
        <v>74.739999999999995</v>
      </c>
      <c r="D79" s="342">
        <v>146.58000000000001</v>
      </c>
      <c r="E79" s="342">
        <v>254.19</v>
      </c>
      <c r="F79" s="342">
        <v>584.44000000000005</v>
      </c>
      <c r="G79" s="342">
        <v>855.6</v>
      </c>
      <c r="H79" s="342">
        <v>1034.1199999999999</v>
      </c>
      <c r="I79" s="342">
        <v>3603.64</v>
      </c>
      <c r="J79" s="342">
        <v>5070.6099999999997</v>
      </c>
      <c r="K79" s="342">
        <v>10005.120000000001</v>
      </c>
      <c r="L79" s="342">
        <v>17436.04</v>
      </c>
      <c r="M79" s="342">
        <v>30403.45</v>
      </c>
      <c r="N79" s="137">
        <f t="shared" si="0"/>
        <v>200</v>
      </c>
      <c r="O79" s="137"/>
      <c r="P79" s="343">
        <v>45.75</v>
      </c>
      <c r="Q79" s="343">
        <v>101.19</v>
      </c>
      <c r="R79" s="343">
        <v>175.92</v>
      </c>
      <c r="S79" s="343">
        <v>405.26</v>
      </c>
      <c r="T79" s="343">
        <v>593.57000000000005</v>
      </c>
      <c r="U79" s="343">
        <v>717.54</v>
      </c>
      <c r="V79" s="343">
        <v>2501.9299999999998</v>
      </c>
      <c r="W79" s="343">
        <v>3520.66</v>
      </c>
      <c r="X79" s="343">
        <v>6947.4</v>
      </c>
      <c r="Y79" s="343">
        <v>12107.76</v>
      </c>
      <c r="Z79" s="343">
        <v>21112.9</v>
      </c>
    </row>
    <row r="80" spans="1:26" ht="13.5" hidden="1">
      <c r="A80" s="134">
        <v>5</v>
      </c>
      <c r="B80" s="135" t="s">
        <v>220</v>
      </c>
      <c r="C80" s="342">
        <v>111.43</v>
      </c>
      <c r="D80" s="342">
        <v>190.89</v>
      </c>
      <c r="E80" s="342">
        <v>402.76</v>
      </c>
      <c r="F80" s="342">
        <v>904.61</v>
      </c>
      <c r="G80" s="342">
        <v>1281.81</v>
      </c>
      <c r="H80" s="342">
        <v>1657.77</v>
      </c>
      <c r="I80" s="342">
        <v>5485.91</v>
      </c>
      <c r="J80" s="342">
        <v>8023.82</v>
      </c>
      <c r="K80" s="342">
        <v>15853.43</v>
      </c>
      <c r="L80" s="342">
        <v>27830.89</v>
      </c>
      <c r="M80" s="342">
        <v>47915.040000000001</v>
      </c>
      <c r="N80" s="137">
        <f t="shared" si="0"/>
        <v>235</v>
      </c>
      <c r="O80" s="137"/>
      <c r="P80" s="343">
        <v>75.989999999999995</v>
      </c>
      <c r="Q80" s="343">
        <v>108.55</v>
      </c>
      <c r="R80" s="343">
        <v>276.24</v>
      </c>
      <c r="S80" s="343">
        <v>626.80999999999995</v>
      </c>
      <c r="T80" s="343">
        <v>888.75</v>
      </c>
      <c r="U80" s="343">
        <v>1149.8399999999999</v>
      </c>
      <c r="V80" s="343">
        <v>3808.27</v>
      </c>
      <c r="W80" s="343">
        <v>5570.7</v>
      </c>
      <c r="X80" s="343">
        <v>11007.93</v>
      </c>
      <c r="Y80" s="343">
        <v>19325.61</v>
      </c>
      <c r="Z80" s="343">
        <v>33272.94</v>
      </c>
    </row>
    <row r="81" spans="1:26" ht="13.5" hidden="1">
      <c r="A81" s="134">
        <v>5</v>
      </c>
      <c r="B81" s="135" t="s">
        <v>480</v>
      </c>
      <c r="C81" s="136">
        <v>5.47</v>
      </c>
      <c r="D81" s="136">
        <v>11.81</v>
      </c>
      <c r="E81" s="136">
        <v>17.71</v>
      </c>
      <c r="F81" s="136">
        <v>41.83</v>
      </c>
      <c r="G81" s="136">
        <v>50.32</v>
      </c>
      <c r="H81" s="136">
        <v>0</v>
      </c>
      <c r="I81" s="136">
        <v>0</v>
      </c>
      <c r="J81" s="136">
        <v>0</v>
      </c>
      <c r="K81" s="136">
        <v>0</v>
      </c>
      <c r="L81" s="136">
        <v>0</v>
      </c>
      <c r="M81" s="136">
        <v>0</v>
      </c>
      <c r="N81" s="137">
        <f t="shared" si="0"/>
        <v>55</v>
      </c>
      <c r="O81" s="137"/>
      <c r="P81" s="137">
        <v>3.1</v>
      </c>
      <c r="Q81" s="137">
        <v>8.1199999999999992</v>
      </c>
      <c r="R81" s="137">
        <v>10.3</v>
      </c>
      <c r="S81" s="137">
        <v>26.76</v>
      </c>
      <c r="T81" s="137">
        <v>34.61</v>
      </c>
      <c r="U81" s="137">
        <v>0</v>
      </c>
      <c r="V81" s="137">
        <v>0</v>
      </c>
      <c r="W81" s="137">
        <v>0</v>
      </c>
      <c r="X81" s="137">
        <v>0</v>
      </c>
      <c r="Y81" s="137">
        <v>0</v>
      </c>
      <c r="Z81" s="137">
        <v>0</v>
      </c>
    </row>
    <row r="82" spans="1:26" ht="13.5" hidden="1">
      <c r="A82" s="134">
        <v>5</v>
      </c>
      <c r="B82" s="135" t="s">
        <v>481</v>
      </c>
      <c r="C82" s="136">
        <v>11.23</v>
      </c>
      <c r="D82" s="136">
        <v>16.95</v>
      </c>
      <c r="E82" s="136">
        <v>27.83</v>
      </c>
      <c r="F82" s="136">
        <v>76.260000000000005</v>
      </c>
      <c r="G82" s="136">
        <v>105.93</v>
      </c>
      <c r="H82" s="136">
        <v>122.86</v>
      </c>
      <c r="I82" s="136">
        <v>0</v>
      </c>
      <c r="J82" s="136">
        <v>0</v>
      </c>
      <c r="K82" s="136">
        <v>0</v>
      </c>
      <c r="L82" s="136">
        <v>0</v>
      </c>
      <c r="M82" s="136">
        <v>0</v>
      </c>
      <c r="N82" s="137">
        <f t="shared" si="0"/>
        <v>80</v>
      </c>
      <c r="O82" s="137"/>
      <c r="P82" s="137">
        <v>6.8</v>
      </c>
      <c r="Q82" s="137">
        <v>11.77</v>
      </c>
      <c r="R82" s="137">
        <v>16.059999999999999</v>
      </c>
      <c r="S82" s="137">
        <v>52.96</v>
      </c>
      <c r="T82" s="137">
        <v>66.099999999999994</v>
      </c>
      <c r="U82" s="137">
        <v>82.38</v>
      </c>
      <c r="V82" s="137">
        <v>0</v>
      </c>
      <c r="W82" s="137">
        <v>0</v>
      </c>
      <c r="X82" s="137">
        <v>0</v>
      </c>
      <c r="Y82" s="137">
        <v>0</v>
      </c>
      <c r="Z82" s="137">
        <v>0</v>
      </c>
    </row>
    <row r="83" spans="1:26" ht="13.5" hidden="1">
      <c r="A83" s="134">
        <v>5</v>
      </c>
      <c r="B83" s="135" t="s">
        <v>403</v>
      </c>
      <c r="C83" s="136">
        <v>20.04</v>
      </c>
      <c r="D83" s="136">
        <v>33.69</v>
      </c>
      <c r="E83" s="136">
        <v>64.010000000000005</v>
      </c>
      <c r="F83" s="136">
        <v>109.01</v>
      </c>
      <c r="G83" s="136">
        <v>252.86</v>
      </c>
      <c r="H83" s="136">
        <v>268.76</v>
      </c>
      <c r="I83" s="136">
        <v>542.98</v>
      </c>
      <c r="J83" s="136">
        <v>920.53</v>
      </c>
      <c r="K83" s="136">
        <v>0</v>
      </c>
      <c r="L83" s="136">
        <v>0</v>
      </c>
      <c r="M83" s="136">
        <v>0</v>
      </c>
      <c r="N83" s="137">
        <f t="shared" si="0"/>
        <v>105</v>
      </c>
      <c r="O83" s="137"/>
      <c r="P83" s="137">
        <v>11.58</v>
      </c>
      <c r="Q83" s="137">
        <v>19.489999999999998</v>
      </c>
      <c r="R83" s="137">
        <v>37.04</v>
      </c>
      <c r="S83" s="137">
        <v>63.27</v>
      </c>
      <c r="T83" s="137">
        <v>146</v>
      </c>
      <c r="U83" s="137">
        <v>155.76</v>
      </c>
      <c r="V83" s="137">
        <v>314.94</v>
      </c>
      <c r="W83" s="137">
        <v>532.71</v>
      </c>
      <c r="X83" s="137">
        <v>0</v>
      </c>
      <c r="Y83" s="137">
        <v>0</v>
      </c>
      <c r="Z83" s="137">
        <v>0</v>
      </c>
    </row>
    <row r="84" spans="1:26" ht="13.5" hidden="1">
      <c r="A84" s="134">
        <v>5</v>
      </c>
      <c r="B84" s="135" t="s">
        <v>404</v>
      </c>
      <c r="C84" s="136">
        <v>71.319999999999993</v>
      </c>
      <c r="D84" s="136">
        <v>126.94</v>
      </c>
      <c r="E84" s="136">
        <v>260.07</v>
      </c>
      <c r="F84" s="136">
        <v>476.08</v>
      </c>
      <c r="G84" s="136">
        <v>804.33</v>
      </c>
      <c r="H84" s="136">
        <v>1096.33</v>
      </c>
      <c r="I84" s="136">
        <v>1904.34</v>
      </c>
      <c r="J84" s="136">
        <v>2642.35</v>
      </c>
      <c r="K84" s="136">
        <v>5590.42</v>
      </c>
      <c r="L84" s="136">
        <v>4095.55</v>
      </c>
      <c r="M84" s="136">
        <v>0</v>
      </c>
      <c r="N84" s="137">
        <f t="shared" si="0"/>
        <v>157.5</v>
      </c>
      <c r="O84" s="137"/>
      <c r="P84" s="137">
        <v>41.3</v>
      </c>
      <c r="Q84" s="137">
        <v>82.58</v>
      </c>
      <c r="R84" s="137">
        <v>176.33</v>
      </c>
      <c r="S84" s="137">
        <v>275.70999999999998</v>
      </c>
      <c r="T84" s="137">
        <v>526.96</v>
      </c>
      <c r="U84" s="137">
        <v>633.78</v>
      </c>
      <c r="V84" s="137">
        <v>1102.8399999999999</v>
      </c>
      <c r="W84" s="137">
        <v>1567.99</v>
      </c>
      <c r="X84" s="137">
        <v>3291.84</v>
      </c>
      <c r="Y84" s="137">
        <v>2367.37</v>
      </c>
      <c r="Z84" s="137">
        <v>0</v>
      </c>
    </row>
    <row r="85" spans="1:26" ht="13.5" hidden="1">
      <c r="A85" s="134">
        <v>5</v>
      </c>
      <c r="B85" s="135" t="s">
        <v>405</v>
      </c>
      <c r="C85" s="136">
        <v>59.25</v>
      </c>
      <c r="D85" s="136">
        <v>260</v>
      </c>
      <c r="E85" s="136">
        <v>502.24</v>
      </c>
      <c r="F85" s="136">
        <v>942.81</v>
      </c>
      <c r="G85" s="136">
        <v>1288.0999999999999</v>
      </c>
      <c r="H85" s="136">
        <v>2149.0700000000002</v>
      </c>
      <c r="I85" s="136">
        <v>3239.38</v>
      </c>
      <c r="J85" s="136">
        <v>5523.18</v>
      </c>
      <c r="K85" s="136">
        <v>10230.299999999999</v>
      </c>
      <c r="L85" s="136">
        <v>7871.52</v>
      </c>
      <c r="M85" s="136">
        <v>0</v>
      </c>
      <c r="N85" s="137">
        <f t="shared" si="0"/>
        <v>200</v>
      </c>
      <c r="O85" s="137"/>
      <c r="P85" s="137">
        <v>34.26</v>
      </c>
      <c r="Q85" s="137">
        <v>163.75</v>
      </c>
      <c r="R85" s="137">
        <v>290.7</v>
      </c>
      <c r="S85" s="137">
        <v>545.5</v>
      </c>
      <c r="T85" s="137">
        <v>784.69</v>
      </c>
      <c r="U85" s="137">
        <v>1268.9000000000001</v>
      </c>
      <c r="V85" s="137">
        <v>1874.64</v>
      </c>
      <c r="W85" s="137">
        <v>3196.29</v>
      </c>
      <c r="X85" s="137">
        <v>6590.07</v>
      </c>
      <c r="Y85" s="137">
        <v>4551.04</v>
      </c>
      <c r="Z85" s="137">
        <v>0</v>
      </c>
    </row>
    <row r="86" spans="1:26" ht="13.5" hidden="1">
      <c r="A86" s="134">
        <v>5</v>
      </c>
      <c r="B86" s="135" t="s">
        <v>406</v>
      </c>
      <c r="C86" s="136">
        <v>101.8</v>
      </c>
      <c r="D86" s="136">
        <v>406.05</v>
      </c>
      <c r="E86" s="136">
        <v>889.2</v>
      </c>
      <c r="F86" s="136">
        <v>2240.5500000000002</v>
      </c>
      <c r="G86" s="136">
        <v>2926.44</v>
      </c>
      <c r="H86" s="136">
        <v>3556.8</v>
      </c>
      <c r="I86" s="136">
        <v>6929.86</v>
      </c>
      <c r="J86" s="136">
        <v>11046.37</v>
      </c>
      <c r="K86" s="136">
        <v>16705.919999999998</v>
      </c>
      <c r="L86" s="136">
        <v>29600.81</v>
      </c>
      <c r="M86" s="136">
        <v>0</v>
      </c>
      <c r="N86" s="137">
        <f t="shared" si="0"/>
        <v>235</v>
      </c>
      <c r="O86" s="137"/>
      <c r="P86" s="137">
        <v>58.94</v>
      </c>
      <c r="Q86" s="137">
        <v>234.98</v>
      </c>
      <c r="R86" s="137">
        <v>514.48</v>
      </c>
      <c r="S86" s="137">
        <v>1338.38</v>
      </c>
      <c r="T86" s="137">
        <v>1997.68</v>
      </c>
      <c r="U86" s="137">
        <v>2057.92</v>
      </c>
      <c r="V86" s="137">
        <v>4010.34</v>
      </c>
      <c r="W86" s="137">
        <v>6392.57</v>
      </c>
      <c r="X86" s="137">
        <v>9664.58</v>
      </c>
      <c r="Y86" s="137">
        <v>17136.14</v>
      </c>
      <c r="Z86" s="137">
        <v>0</v>
      </c>
    </row>
    <row r="87" spans="1:26" ht="13.5" hidden="1">
      <c r="A87" s="134">
        <v>5</v>
      </c>
      <c r="B87" s="135" t="s">
        <v>482</v>
      </c>
      <c r="C87" s="136">
        <v>362.1</v>
      </c>
      <c r="D87" s="136">
        <v>522.1</v>
      </c>
      <c r="E87" s="136">
        <v>1143.6099999999999</v>
      </c>
      <c r="F87" s="136">
        <v>2625.37</v>
      </c>
      <c r="G87" s="136">
        <v>3399.56</v>
      </c>
      <c r="H87" s="136">
        <v>4574.45</v>
      </c>
      <c r="I87" s="136">
        <v>8824.17</v>
      </c>
      <c r="J87" s="136">
        <v>14586.89</v>
      </c>
      <c r="K87" s="136">
        <v>23628.35</v>
      </c>
      <c r="L87" s="136">
        <v>44672.34</v>
      </c>
      <c r="M87" s="136">
        <v>0</v>
      </c>
      <c r="N87" s="137">
        <f t="shared" si="0"/>
        <v>300</v>
      </c>
      <c r="O87" s="137"/>
      <c r="P87" s="137">
        <v>209.49</v>
      </c>
      <c r="Q87" s="137">
        <v>362.57</v>
      </c>
      <c r="R87" s="137">
        <v>794.17</v>
      </c>
      <c r="S87" s="137">
        <v>1790.45</v>
      </c>
      <c r="T87" s="137">
        <v>2360.81</v>
      </c>
      <c r="U87" s="137">
        <v>3176.7</v>
      </c>
      <c r="V87" s="137">
        <v>6127.89</v>
      </c>
      <c r="W87" s="137">
        <v>10129.780000000001</v>
      </c>
      <c r="X87" s="137">
        <v>16408.57</v>
      </c>
      <c r="Y87" s="137">
        <v>31022.46</v>
      </c>
      <c r="Z87" s="137">
        <v>0</v>
      </c>
    </row>
    <row r="88" spans="1:26" ht="13.5" hidden="1">
      <c r="A88" s="134">
        <v>5</v>
      </c>
      <c r="B88" s="135" t="s">
        <v>483</v>
      </c>
      <c r="C88" s="136">
        <v>251.24</v>
      </c>
      <c r="D88" s="136">
        <v>621.27</v>
      </c>
      <c r="E88" s="136">
        <v>2056.35</v>
      </c>
      <c r="F88" s="136">
        <v>4350.62</v>
      </c>
      <c r="G88" s="136">
        <v>6043.14</v>
      </c>
      <c r="H88" s="136">
        <v>8225.3799999999992</v>
      </c>
      <c r="I88" s="136">
        <v>13124.16</v>
      </c>
      <c r="J88" s="136">
        <v>21056.98</v>
      </c>
      <c r="K88" s="136">
        <v>32901.53</v>
      </c>
      <c r="L88" s="136">
        <v>49331.75</v>
      </c>
      <c r="M88" s="136">
        <v>0</v>
      </c>
      <c r="N88" s="137">
        <f t="shared" si="0"/>
        <v>350</v>
      </c>
      <c r="O88" s="137"/>
      <c r="P88" s="137">
        <v>145.44</v>
      </c>
      <c r="Q88" s="137">
        <v>359.48</v>
      </c>
      <c r="R88" s="137">
        <v>1428.02</v>
      </c>
      <c r="S88" s="137">
        <v>3021.26</v>
      </c>
      <c r="T88" s="137">
        <v>4196.62</v>
      </c>
      <c r="U88" s="137">
        <v>5712.07</v>
      </c>
      <c r="V88" s="137">
        <v>9114</v>
      </c>
      <c r="W88" s="137">
        <v>14622.9</v>
      </c>
      <c r="X88" s="137">
        <v>22848.29</v>
      </c>
      <c r="Y88" s="137">
        <v>34177.47</v>
      </c>
      <c r="Z88" s="137">
        <v>0</v>
      </c>
    </row>
    <row r="89" spans="1:26" ht="13.5" hidden="1">
      <c r="A89" s="134">
        <v>5</v>
      </c>
      <c r="B89" s="135" t="s">
        <v>484</v>
      </c>
      <c r="C89" s="136">
        <v>322.14999999999998</v>
      </c>
      <c r="D89" s="136">
        <v>1054.67</v>
      </c>
      <c r="E89" s="136">
        <v>2501.23</v>
      </c>
      <c r="F89" s="136">
        <v>5310.77</v>
      </c>
      <c r="G89" s="136">
        <v>7735.66</v>
      </c>
      <c r="H89" s="136">
        <v>9623.81</v>
      </c>
      <c r="I89" s="136">
        <v>16264.23</v>
      </c>
      <c r="J89" s="136">
        <v>25412.86</v>
      </c>
      <c r="K89" s="136">
        <v>53766.06</v>
      </c>
      <c r="L89" s="136">
        <v>62828.480000000003</v>
      </c>
      <c r="M89" s="136">
        <v>0</v>
      </c>
      <c r="N89" s="137">
        <f t="shared" ref="N89:N152" si="1">+N67</f>
        <v>425</v>
      </c>
      <c r="O89" s="137"/>
      <c r="P89" s="137">
        <v>186.43</v>
      </c>
      <c r="Q89" s="137">
        <v>610.25</v>
      </c>
      <c r="R89" s="137">
        <v>1631.59</v>
      </c>
      <c r="S89" s="137">
        <v>3688.03</v>
      </c>
      <c r="T89" s="137">
        <v>5276.01</v>
      </c>
      <c r="U89" s="137">
        <v>6683.2</v>
      </c>
      <c r="V89" s="137">
        <v>10967.13</v>
      </c>
      <c r="W89" s="137">
        <v>15707.12</v>
      </c>
      <c r="X89" s="137">
        <v>37337.54</v>
      </c>
      <c r="Y89" s="137">
        <v>36363.269999999997</v>
      </c>
      <c r="Z89" s="137">
        <v>0</v>
      </c>
    </row>
    <row r="90" spans="1:26" ht="13.5" hidden="1">
      <c r="A90" s="134">
        <v>6</v>
      </c>
      <c r="B90" s="135" t="s">
        <v>30</v>
      </c>
      <c r="C90" s="342">
        <v>2.25</v>
      </c>
      <c r="D90" s="342">
        <v>3.34</v>
      </c>
      <c r="E90" s="342">
        <v>8.3000000000000007</v>
      </c>
      <c r="F90" s="342">
        <v>14.27</v>
      </c>
      <c r="G90" s="342">
        <v>20.079999999999998</v>
      </c>
      <c r="H90" s="342">
        <v>26.23</v>
      </c>
      <c r="I90" s="342"/>
      <c r="J90" s="342"/>
      <c r="K90" s="342"/>
      <c r="L90" s="342"/>
      <c r="M90" s="342"/>
      <c r="N90" s="137">
        <f t="shared" si="1"/>
        <v>37.5</v>
      </c>
      <c r="O90" s="137"/>
      <c r="P90" s="343">
        <v>1.56</v>
      </c>
      <c r="Q90" s="343">
        <v>2.3199999999999998</v>
      </c>
      <c r="R90" s="343">
        <v>5.76</v>
      </c>
      <c r="S90" s="343">
        <v>9.91</v>
      </c>
      <c r="T90" s="343">
        <v>13.94</v>
      </c>
      <c r="U90" s="343">
        <v>18.21</v>
      </c>
      <c r="V90" s="343"/>
      <c r="W90" s="343"/>
      <c r="X90" s="343"/>
      <c r="Y90" s="343"/>
      <c r="Z90" s="343"/>
    </row>
    <row r="91" spans="1:26" ht="13.5" hidden="1">
      <c r="A91" s="134">
        <v>6</v>
      </c>
      <c r="B91" s="135" t="s">
        <v>31</v>
      </c>
      <c r="C91" s="342">
        <v>5.09</v>
      </c>
      <c r="D91" s="342">
        <v>8.24</v>
      </c>
      <c r="E91" s="342">
        <v>17.78</v>
      </c>
      <c r="F91" s="342">
        <v>35.68</v>
      </c>
      <c r="G91" s="342">
        <v>50.87</v>
      </c>
      <c r="H91" s="342">
        <v>62.95</v>
      </c>
      <c r="I91" s="342">
        <v>131.03</v>
      </c>
      <c r="J91" s="342">
        <v>196.21</v>
      </c>
      <c r="K91" s="342">
        <v>360.16</v>
      </c>
      <c r="L91" s="342">
        <v>702.73</v>
      </c>
      <c r="M91" s="342">
        <v>1138.31</v>
      </c>
      <c r="N91" s="137">
        <f t="shared" si="1"/>
        <v>50</v>
      </c>
      <c r="O91" s="137"/>
      <c r="P91" s="343">
        <v>3.53</v>
      </c>
      <c r="Q91" s="343">
        <v>5.72</v>
      </c>
      <c r="R91" s="343">
        <v>12.34</v>
      </c>
      <c r="S91" s="343">
        <v>24.78</v>
      </c>
      <c r="T91" s="343">
        <v>35.33</v>
      </c>
      <c r="U91" s="343">
        <v>43.71</v>
      </c>
      <c r="V91" s="343">
        <v>90.99</v>
      </c>
      <c r="W91" s="343">
        <v>136.25</v>
      </c>
      <c r="X91" s="343">
        <v>250.11</v>
      </c>
      <c r="Y91" s="343">
        <v>488</v>
      </c>
      <c r="Z91" s="343">
        <v>790.49</v>
      </c>
    </row>
    <row r="92" spans="1:26" ht="13.5" hidden="1">
      <c r="A92" s="134">
        <v>6</v>
      </c>
      <c r="B92" s="135" t="s">
        <v>32</v>
      </c>
      <c r="C92" s="342">
        <v>9.5</v>
      </c>
      <c r="D92" s="342">
        <v>16.48</v>
      </c>
      <c r="E92" s="342">
        <v>34.950000000000003</v>
      </c>
      <c r="F92" s="342">
        <v>72.25</v>
      </c>
      <c r="G92" s="342">
        <v>96.38</v>
      </c>
      <c r="H92" s="342">
        <v>120.65</v>
      </c>
      <c r="I92" s="342">
        <v>301.48</v>
      </c>
      <c r="J92" s="342">
        <v>451.45</v>
      </c>
      <c r="K92" s="342">
        <v>828.71</v>
      </c>
      <c r="L92" s="342">
        <v>1616.95</v>
      </c>
      <c r="M92" s="342">
        <v>2619.1999999999998</v>
      </c>
      <c r="N92" s="137">
        <f t="shared" si="1"/>
        <v>75</v>
      </c>
      <c r="O92" s="137"/>
      <c r="P92" s="343">
        <v>6.21</v>
      </c>
      <c r="Q92" s="343">
        <v>11.43</v>
      </c>
      <c r="R92" s="343">
        <v>24.26</v>
      </c>
      <c r="S92" s="343">
        <v>50.16</v>
      </c>
      <c r="T92" s="343">
        <v>66.92</v>
      </c>
      <c r="U92" s="343">
        <v>83.77</v>
      </c>
      <c r="V92" s="343">
        <v>209.35</v>
      </c>
      <c r="W92" s="343">
        <v>313.5</v>
      </c>
      <c r="X92" s="343">
        <v>575.48</v>
      </c>
      <c r="Y92" s="343">
        <v>1122.8699999999999</v>
      </c>
      <c r="Z92" s="343">
        <v>1818.88</v>
      </c>
    </row>
    <row r="93" spans="1:26" ht="13.5" hidden="1">
      <c r="A93" s="134">
        <v>6</v>
      </c>
      <c r="B93" s="135" t="s">
        <v>33</v>
      </c>
      <c r="C93" s="342">
        <v>16.43</v>
      </c>
      <c r="D93" s="342">
        <v>30.33</v>
      </c>
      <c r="E93" s="342">
        <v>59.01</v>
      </c>
      <c r="F93" s="342">
        <v>129.37</v>
      </c>
      <c r="G93" s="342">
        <v>167.37</v>
      </c>
      <c r="H93" s="342">
        <v>222.1</v>
      </c>
      <c r="I93" s="342">
        <v>559.76</v>
      </c>
      <c r="J93" s="342">
        <v>838.19</v>
      </c>
      <c r="K93" s="342">
        <v>1538.58</v>
      </c>
      <c r="L93" s="342">
        <v>3001.97</v>
      </c>
      <c r="M93" s="342">
        <v>4862.7</v>
      </c>
      <c r="N93" s="137">
        <f t="shared" si="1"/>
        <v>100</v>
      </c>
      <c r="O93" s="137"/>
      <c r="P93" s="343">
        <v>11.4</v>
      </c>
      <c r="Q93" s="343">
        <v>21.06</v>
      </c>
      <c r="R93" s="343">
        <v>40.98</v>
      </c>
      <c r="S93" s="343">
        <v>89.84</v>
      </c>
      <c r="T93" s="343">
        <v>116.22</v>
      </c>
      <c r="U93" s="343">
        <v>154.24</v>
      </c>
      <c r="V93" s="343">
        <v>388.72</v>
      </c>
      <c r="W93" s="343">
        <v>582.07000000000005</v>
      </c>
      <c r="X93" s="343">
        <v>1068.46</v>
      </c>
      <c r="Y93" s="343">
        <v>2084.6999999999998</v>
      </c>
      <c r="Z93" s="343">
        <v>3376.87</v>
      </c>
    </row>
    <row r="94" spans="1:26" ht="13.5" hidden="1">
      <c r="A94" s="134">
        <v>6</v>
      </c>
      <c r="B94" s="135" t="s">
        <v>34</v>
      </c>
      <c r="C94" s="342">
        <v>31.31</v>
      </c>
      <c r="D94" s="342">
        <v>68.42</v>
      </c>
      <c r="E94" s="342">
        <v>119.5</v>
      </c>
      <c r="F94" s="342">
        <v>277.67</v>
      </c>
      <c r="G94" s="342">
        <v>383.57</v>
      </c>
      <c r="H94" s="342">
        <v>494.22</v>
      </c>
      <c r="I94" s="342">
        <v>1455.28</v>
      </c>
      <c r="J94" s="342">
        <v>1837.04</v>
      </c>
      <c r="K94" s="342">
        <v>3815.37</v>
      </c>
      <c r="L94" s="342">
        <v>6684.84</v>
      </c>
      <c r="M94" s="342">
        <v>12144.01</v>
      </c>
      <c r="N94" s="137">
        <f t="shared" si="1"/>
        <v>150</v>
      </c>
      <c r="O94" s="137"/>
      <c r="P94" s="343">
        <v>17.809999999999999</v>
      </c>
      <c r="Q94" s="343">
        <v>42.13</v>
      </c>
      <c r="R94" s="343">
        <v>82.76</v>
      </c>
      <c r="S94" s="343">
        <v>192.6</v>
      </c>
      <c r="T94" s="343">
        <v>266.14</v>
      </c>
      <c r="U94" s="343">
        <v>342.98</v>
      </c>
      <c r="V94" s="343">
        <v>1010.39</v>
      </c>
      <c r="W94" s="343">
        <v>1275.5</v>
      </c>
      <c r="X94" s="343">
        <v>2649.34</v>
      </c>
      <c r="Y94" s="343">
        <v>4642.0200000000004</v>
      </c>
      <c r="Z94" s="343">
        <v>8433.11</v>
      </c>
    </row>
    <row r="95" spans="1:26" ht="13.5" hidden="1">
      <c r="A95" s="134">
        <v>6</v>
      </c>
      <c r="B95" s="135" t="s">
        <v>35</v>
      </c>
      <c r="C95" s="136"/>
      <c r="D95" s="136"/>
      <c r="E95" s="136"/>
      <c r="F95" s="136"/>
      <c r="G95" s="136"/>
      <c r="H95" s="136"/>
      <c r="I95" s="136"/>
      <c r="J95" s="136"/>
      <c r="K95" s="136"/>
      <c r="L95" s="136"/>
      <c r="M95" s="136"/>
      <c r="N95" s="137">
        <f t="shared" si="1"/>
        <v>225</v>
      </c>
      <c r="O95" s="137"/>
      <c r="P95" s="137"/>
      <c r="Q95" s="137"/>
      <c r="R95" s="137"/>
      <c r="S95" s="137"/>
      <c r="T95" s="137"/>
      <c r="U95" s="137"/>
      <c r="V95" s="137"/>
      <c r="W95" s="137"/>
      <c r="X95" s="137"/>
      <c r="Y95" s="137"/>
      <c r="Z95" s="137"/>
    </row>
    <row r="96" spans="1:26" ht="13.5" hidden="1">
      <c r="A96" s="134">
        <v>6</v>
      </c>
      <c r="B96" s="135" t="s">
        <v>214</v>
      </c>
      <c r="C96" s="342">
        <v>2.2599999999999998</v>
      </c>
      <c r="D96" s="342">
        <v>3.34</v>
      </c>
      <c r="E96" s="342">
        <v>8.3000000000000007</v>
      </c>
      <c r="F96" s="342">
        <v>14.27</v>
      </c>
      <c r="G96" s="342">
        <v>20.079999999999998</v>
      </c>
      <c r="H96" s="342">
        <v>26.23</v>
      </c>
      <c r="I96" s="342"/>
      <c r="J96" s="342"/>
      <c r="K96" s="342"/>
      <c r="L96" s="342"/>
      <c r="M96" s="342"/>
      <c r="N96" s="137">
        <f t="shared" si="1"/>
        <v>40</v>
      </c>
      <c r="O96" s="137"/>
      <c r="P96" s="343">
        <v>1.57</v>
      </c>
      <c r="Q96" s="343">
        <v>2.3199999999999998</v>
      </c>
      <c r="R96" s="343">
        <v>5.77</v>
      </c>
      <c r="S96" s="343">
        <v>9.91</v>
      </c>
      <c r="T96" s="343">
        <v>13.95</v>
      </c>
      <c r="U96" s="343">
        <v>18.22</v>
      </c>
      <c r="V96" s="343"/>
      <c r="W96" s="343"/>
      <c r="X96" s="343"/>
      <c r="Y96" s="343"/>
      <c r="Z96" s="343"/>
    </row>
    <row r="97" spans="1:26" ht="13.5" hidden="1">
      <c r="A97" s="134">
        <v>6</v>
      </c>
      <c r="B97" s="135" t="s">
        <v>215</v>
      </c>
      <c r="C97" s="342">
        <v>5.26</v>
      </c>
      <c r="D97" s="342">
        <v>8.24</v>
      </c>
      <c r="E97" s="342">
        <v>18.79</v>
      </c>
      <c r="F97" s="342">
        <v>35.68</v>
      </c>
      <c r="G97" s="342">
        <v>50.87</v>
      </c>
      <c r="H97" s="342">
        <v>62.95</v>
      </c>
      <c r="I97" s="342">
        <v>209.37</v>
      </c>
      <c r="J97" s="342">
        <v>284.58</v>
      </c>
      <c r="K97" s="342">
        <v>575.5</v>
      </c>
      <c r="L97" s="342">
        <v>863.76</v>
      </c>
      <c r="M97" s="342">
        <v>1567.05</v>
      </c>
      <c r="N97" s="137">
        <f t="shared" si="1"/>
        <v>55</v>
      </c>
      <c r="O97" s="137"/>
      <c r="P97" s="343">
        <v>3.65</v>
      </c>
      <c r="Q97" s="343">
        <v>5.72</v>
      </c>
      <c r="R97" s="343">
        <v>13.04</v>
      </c>
      <c r="S97" s="343">
        <v>24.77</v>
      </c>
      <c r="T97" s="343">
        <v>35.32</v>
      </c>
      <c r="U97" s="343">
        <v>43.71</v>
      </c>
      <c r="V97" s="343">
        <v>145.38999999999999</v>
      </c>
      <c r="W97" s="343">
        <v>197.62</v>
      </c>
      <c r="X97" s="343">
        <v>399.65</v>
      </c>
      <c r="Y97" s="343">
        <v>599.83000000000004</v>
      </c>
      <c r="Z97" s="343">
        <v>1088.23</v>
      </c>
    </row>
    <row r="98" spans="1:26" ht="13.5" hidden="1">
      <c r="A98" s="134">
        <v>6</v>
      </c>
      <c r="B98" s="135" t="s">
        <v>216</v>
      </c>
      <c r="C98" s="342">
        <v>9.5</v>
      </c>
      <c r="D98" s="342">
        <v>16.47</v>
      </c>
      <c r="E98" s="342">
        <v>34.94</v>
      </c>
      <c r="F98" s="342">
        <v>72.239999999999995</v>
      </c>
      <c r="G98" s="342">
        <v>96.37</v>
      </c>
      <c r="H98" s="342">
        <v>120.64</v>
      </c>
      <c r="I98" s="342">
        <v>351.08</v>
      </c>
      <c r="J98" s="342">
        <v>525.73</v>
      </c>
      <c r="K98" s="342">
        <v>973.91</v>
      </c>
      <c r="L98" s="342">
        <v>1779.33</v>
      </c>
      <c r="M98" s="342">
        <v>2882.24</v>
      </c>
      <c r="N98" s="137">
        <f t="shared" si="1"/>
        <v>80</v>
      </c>
      <c r="O98" s="137"/>
      <c r="P98" s="343">
        <v>6.21</v>
      </c>
      <c r="Q98" s="343">
        <v>11.43</v>
      </c>
      <c r="R98" s="343">
        <v>24.25</v>
      </c>
      <c r="S98" s="343">
        <v>50.16</v>
      </c>
      <c r="T98" s="343">
        <v>66.91</v>
      </c>
      <c r="U98" s="343">
        <v>83.77</v>
      </c>
      <c r="V98" s="343">
        <v>243.8</v>
      </c>
      <c r="W98" s="343">
        <v>365.08</v>
      </c>
      <c r="X98" s="343">
        <v>676.32</v>
      </c>
      <c r="Y98" s="343">
        <v>1235.6300000000001</v>
      </c>
      <c r="Z98" s="343">
        <v>2001.54</v>
      </c>
    </row>
    <row r="99" spans="1:26" ht="13.5" hidden="1">
      <c r="A99" s="134">
        <v>6</v>
      </c>
      <c r="B99" s="135" t="s">
        <v>217</v>
      </c>
      <c r="C99" s="342">
        <v>18.09</v>
      </c>
      <c r="D99" s="342">
        <v>33.58</v>
      </c>
      <c r="E99" s="342">
        <v>64.17</v>
      </c>
      <c r="F99" s="342">
        <v>144.44999999999999</v>
      </c>
      <c r="G99" s="342">
        <v>222.18</v>
      </c>
      <c r="H99" s="342">
        <v>291.97000000000003</v>
      </c>
      <c r="I99" s="342">
        <v>753.68</v>
      </c>
      <c r="J99" s="342">
        <v>974.26</v>
      </c>
      <c r="K99" s="342">
        <v>2018.63</v>
      </c>
      <c r="L99" s="342">
        <v>3852.31</v>
      </c>
      <c r="M99" s="342">
        <v>6995.72</v>
      </c>
      <c r="N99" s="137">
        <f t="shared" si="1"/>
        <v>105</v>
      </c>
      <c r="O99" s="137"/>
      <c r="P99" s="343">
        <v>12.38</v>
      </c>
      <c r="Q99" s="343">
        <v>23.29</v>
      </c>
      <c r="R99" s="343">
        <v>44.53</v>
      </c>
      <c r="S99" s="343">
        <v>100.28</v>
      </c>
      <c r="T99" s="343">
        <v>154.26</v>
      </c>
      <c r="U99" s="343">
        <v>202.73</v>
      </c>
      <c r="V99" s="343">
        <v>523.35</v>
      </c>
      <c r="W99" s="343">
        <v>676.53</v>
      </c>
      <c r="X99" s="343">
        <v>1401.79</v>
      </c>
      <c r="Y99" s="343">
        <v>2675.18</v>
      </c>
      <c r="Z99" s="343">
        <v>4858.1000000000004</v>
      </c>
    </row>
    <row r="100" spans="1:26" ht="13.5" hidden="1">
      <c r="A100" s="134">
        <v>6</v>
      </c>
      <c r="B100" s="135" t="s">
        <v>218</v>
      </c>
      <c r="C100" s="342">
        <v>66.44</v>
      </c>
      <c r="D100" s="342">
        <v>136.94</v>
      </c>
      <c r="E100" s="342">
        <v>248.53</v>
      </c>
      <c r="F100" s="342">
        <v>568.61</v>
      </c>
      <c r="G100" s="342">
        <v>777.29</v>
      </c>
      <c r="H100" s="342">
        <v>812.57</v>
      </c>
      <c r="I100" s="342">
        <v>2834.04</v>
      </c>
      <c r="J100" s="342">
        <v>3838.86</v>
      </c>
      <c r="K100" s="342">
        <v>7950.27</v>
      </c>
      <c r="L100" s="342">
        <v>13577.76</v>
      </c>
      <c r="M100" s="342">
        <v>24652.58</v>
      </c>
      <c r="N100" s="137">
        <f t="shared" si="1"/>
        <v>157.5</v>
      </c>
      <c r="O100" s="137"/>
      <c r="P100" s="343">
        <v>45.92</v>
      </c>
      <c r="Q100" s="343">
        <v>79.23</v>
      </c>
      <c r="R100" s="343">
        <v>172.38</v>
      </c>
      <c r="S100" s="343">
        <v>394.65</v>
      </c>
      <c r="T100" s="343">
        <v>539.57000000000005</v>
      </c>
      <c r="U100" s="343">
        <v>564.07000000000005</v>
      </c>
      <c r="V100" s="343">
        <v>1967.87</v>
      </c>
      <c r="W100" s="343">
        <v>2665.67</v>
      </c>
      <c r="X100" s="343">
        <v>5520.81</v>
      </c>
      <c r="Y100" s="343">
        <v>9428.7900000000009</v>
      </c>
      <c r="Z100" s="343">
        <v>17119.63</v>
      </c>
    </row>
    <row r="101" spans="1:26" ht="13.5" hidden="1">
      <c r="A101" s="134">
        <v>6</v>
      </c>
      <c r="B101" s="135" t="s">
        <v>219</v>
      </c>
      <c r="C101" s="342">
        <v>103.54</v>
      </c>
      <c r="D101" s="342">
        <v>202.26</v>
      </c>
      <c r="E101" s="342">
        <v>350.12</v>
      </c>
      <c r="F101" s="342">
        <v>803.91</v>
      </c>
      <c r="G101" s="342">
        <v>1176.5</v>
      </c>
      <c r="H101" s="342">
        <v>1421.79</v>
      </c>
      <c r="I101" s="342">
        <v>4952.4799999999996</v>
      </c>
      <c r="J101" s="342">
        <v>6968.2</v>
      </c>
      <c r="K101" s="342">
        <v>13748.54</v>
      </c>
      <c r="L101" s="342">
        <v>23959.11</v>
      </c>
      <c r="M101" s="342">
        <v>41777.19</v>
      </c>
      <c r="N101" s="137">
        <f t="shared" si="1"/>
        <v>200</v>
      </c>
      <c r="O101" s="137"/>
      <c r="P101" s="343">
        <v>63.7</v>
      </c>
      <c r="Q101" s="343">
        <v>139.88999999999999</v>
      </c>
      <c r="R101" s="343">
        <v>242.57</v>
      </c>
      <c r="S101" s="343">
        <v>557.70000000000005</v>
      </c>
      <c r="T101" s="343">
        <v>816.44</v>
      </c>
      <c r="U101" s="343">
        <v>986.78</v>
      </c>
      <c r="V101" s="343">
        <v>3438.66</v>
      </c>
      <c r="W101" s="343">
        <v>4838.46</v>
      </c>
      <c r="X101" s="343">
        <v>9547.0300000000007</v>
      </c>
      <c r="Y101" s="343">
        <v>16637.7</v>
      </c>
      <c r="Z101" s="343">
        <v>29011.37</v>
      </c>
    </row>
    <row r="102" spans="1:26" ht="13.5" hidden="1">
      <c r="A102" s="134">
        <v>6</v>
      </c>
      <c r="B102" s="135" t="s">
        <v>220</v>
      </c>
      <c r="C102" s="342">
        <v>155.12</v>
      </c>
      <c r="D102" s="342">
        <v>264.3</v>
      </c>
      <c r="E102" s="342">
        <v>555.41999999999996</v>
      </c>
      <c r="F102" s="342">
        <v>1245.01</v>
      </c>
      <c r="G102" s="342">
        <v>1763.3</v>
      </c>
      <c r="H102" s="342">
        <v>2279.89</v>
      </c>
      <c r="I102" s="342">
        <v>7540.02</v>
      </c>
      <c r="J102" s="342">
        <v>11027.26</v>
      </c>
      <c r="K102" s="342">
        <v>21785.67</v>
      </c>
      <c r="L102" s="342">
        <v>38243.49</v>
      </c>
      <c r="M102" s="342">
        <v>65840.429999999993</v>
      </c>
      <c r="N102" s="137">
        <f t="shared" si="1"/>
        <v>235</v>
      </c>
      <c r="O102" s="137"/>
      <c r="P102" s="343">
        <v>106.43</v>
      </c>
      <c r="Q102" s="343">
        <v>151.16999999999999</v>
      </c>
      <c r="R102" s="343">
        <v>381.59</v>
      </c>
      <c r="S102" s="343">
        <v>863.3</v>
      </c>
      <c r="T102" s="343">
        <v>1223.21</v>
      </c>
      <c r="U102" s="343">
        <v>1581.96</v>
      </c>
      <c r="V102" s="343">
        <v>5234.83</v>
      </c>
      <c r="W102" s="343">
        <v>7656.53</v>
      </c>
      <c r="X102" s="343">
        <v>15127.64</v>
      </c>
      <c r="Y102" s="343">
        <v>26556.68</v>
      </c>
      <c r="Z102" s="343">
        <v>45721.23</v>
      </c>
    </row>
    <row r="103" spans="1:26" ht="13.5" hidden="1">
      <c r="A103" s="134">
        <v>6</v>
      </c>
      <c r="B103" s="135" t="s">
        <v>480</v>
      </c>
      <c r="C103" s="136">
        <v>7.51</v>
      </c>
      <c r="D103" s="136">
        <v>17.25</v>
      </c>
      <c r="E103" s="136">
        <v>24.34</v>
      </c>
      <c r="F103" s="136">
        <v>61.11</v>
      </c>
      <c r="G103" s="136">
        <v>73.510000000000005</v>
      </c>
      <c r="H103" s="136">
        <v>0</v>
      </c>
      <c r="I103" s="136">
        <v>0</v>
      </c>
      <c r="J103" s="136">
        <v>0</v>
      </c>
      <c r="K103" s="136">
        <v>0</v>
      </c>
      <c r="L103" s="136">
        <v>0</v>
      </c>
      <c r="M103" s="136">
        <v>0</v>
      </c>
      <c r="N103" s="137">
        <f t="shared" si="1"/>
        <v>55</v>
      </c>
      <c r="O103" s="137"/>
      <c r="P103" s="137">
        <v>4.25</v>
      </c>
      <c r="Q103" s="137">
        <v>11.16</v>
      </c>
      <c r="R103" s="137">
        <v>14.15</v>
      </c>
      <c r="S103" s="137">
        <v>36.770000000000003</v>
      </c>
      <c r="T103" s="137">
        <v>47.55</v>
      </c>
      <c r="U103" s="137">
        <v>0</v>
      </c>
      <c r="V103" s="137">
        <v>0</v>
      </c>
      <c r="W103" s="137">
        <v>0</v>
      </c>
      <c r="X103" s="137">
        <v>0</v>
      </c>
      <c r="Y103" s="137">
        <v>0</v>
      </c>
      <c r="Z103" s="137">
        <v>0</v>
      </c>
    </row>
    <row r="104" spans="1:26" ht="13.5" hidden="1">
      <c r="A104" s="134">
        <v>6</v>
      </c>
      <c r="B104" s="135" t="s">
        <v>481</v>
      </c>
      <c r="C104" s="136">
        <v>16.350000000000001</v>
      </c>
      <c r="D104" s="136">
        <v>30.29</v>
      </c>
      <c r="E104" s="136">
        <v>38.24</v>
      </c>
      <c r="F104" s="136">
        <v>141.93</v>
      </c>
      <c r="G104" s="136">
        <v>158.11000000000001</v>
      </c>
      <c r="H104" s="136">
        <v>196.95</v>
      </c>
      <c r="I104" s="136">
        <v>0</v>
      </c>
      <c r="J104" s="136">
        <v>0</v>
      </c>
      <c r="K104" s="136">
        <v>0</v>
      </c>
      <c r="L104" s="136">
        <v>0</v>
      </c>
      <c r="M104" s="136">
        <v>0</v>
      </c>
      <c r="N104" s="137">
        <f t="shared" si="1"/>
        <v>80</v>
      </c>
      <c r="O104" s="137"/>
      <c r="P104" s="137">
        <v>9.34</v>
      </c>
      <c r="Q104" s="137">
        <v>17.57</v>
      </c>
      <c r="R104" s="137">
        <v>22.06</v>
      </c>
      <c r="S104" s="137">
        <v>81.97</v>
      </c>
      <c r="T104" s="137">
        <v>90.82</v>
      </c>
      <c r="U104" s="137">
        <v>113.19</v>
      </c>
      <c r="V104" s="137">
        <v>0</v>
      </c>
      <c r="W104" s="137">
        <v>0</v>
      </c>
      <c r="X104" s="137">
        <v>0</v>
      </c>
      <c r="Y104" s="137">
        <v>0</v>
      </c>
      <c r="Z104" s="137">
        <v>0</v>
      </c>
    </row>
    <row r="105" spans="1:26" ht="13.5" hidden="1">
      <c r="A105" s="134">
        <v>6</v>
      </c>
      <c r="B105" s="135" t="s">
        <v>403</v>
      </c>
      <c r="C105" s="136">
        <v>27.54</v>
      </c>
      <c r="D105" s="136">
        <v>46.29</v>
      </c>
      <c r="E105" s="136">
        <v>87.96</v>
      </c>
      <c r="F105" s="136">
        <v>149.79</v>
      </c>
      <c r="G105" s="136">
        <v>347.45</v>
      </c>
      <c r="H105" s="136">
        <v>369.3</v>
      </c>
      <c r="I105" s="136">
        <v>746.09</v>
      </c>
      <c r="J105" s="136">
        <v>1264.8699999999999</v>
      </c>
      <c r="K105" s="136">
        <v>0</v>
      </c>
      <c r="L105" s="136">
        <v>0</v>
      </c>
      <c r="M105" s="136">
        <v>0</v>
      </c>
      <c r="N105" s="137">
        <f t="shared" si="1"/>
        <v>105</v>
      </c>
      <c r="O105" s="137"/>
      <c r="P105" s="137">
        <v>15.91</v>
      </c>
      <c r="Q105" s="137">
        <v>26.79</v>
      </c>
      <c r="R105" s="137">
        <v>50.9</v>
      </c>
      <c r="S105" s="137">
        <v>86.94</v>
      </c>
      <c r="T105" s="137">
        <v>200.62</v>
      </c>
      <c r="U105" s="137">
        <v>214.02</v>
      </c>
      <c r="V105" s="137">
        <v>432.75</v>
      </c>
      <c r="W105" s="137">
        <v>731.98</v>
      </c>
      <c r="X105" s="137">
        <v>0</v>
      </c>
      <c r="Y105" s="137">
        <v>0</v>
      </c>
      <c r="Z105" s="137">
        <v>0</v>
      </c>
    </row>
    <row r="106" spans="1:26" ht="13.5" hidden="1">
      <c r="A106" s="134">
        <v>6</v>
      </c>
      <c r="B106" s="135" t="s">
        <v>404</v>
      </c>
      <c r="C106" s="136">
        <v>98</v>
      </c>
      <c r="D106" s="136">
        <v>187.8</v>
      </c>
      <c r="E106" s="136">
        <v>384.76</v>
      </c>
      <c r="F106" s="136">
        <v>654.16999999999996</v>
      </c>
      <c r="G106" s="136">
        <v>1189.97</v>
      </c>
      <c r="H106" s="136">
        <v>1506.42</v>
      </c>
      <c r="I106" s="136">
        <v>2616.69</v>
      </c>
      <c r="J106" s="136">
        <v>3724.22</v>
      </c>
      <c r="K106" s="136">
        <v>7816.1</v>
      </c>
      <c r="L106" s="136">
        <v>5627.55</v>
      </c>
      <c r="M106" s="136">
        <v>0</v>
      </c>
      <c r="N106" s="137">
        <f t="shared" si="1"/>
        <v>157.5</v>
      </c>
      <c r="O106" s="137"/>
      <c r="P106" s="137">
        <v>56.75</v>
      </c>
      <c r="Q106" s="137">
        <v>113.47</v>
      </c>
      <c r="R106" s="137">
        <v>242.29</v>
      </c>
      <c r="S106" s="137">
        <v>378.84</v>
      </c>
      <c r="T106" s="137">
        <v>724.07</v>
      </c>
      <c r="U106" s="137">
        <v>870.85</v>
      </c>
      <c r="V106" s="137">
        <v>1515.38</v>
      </c>
      <c r="W106" s="137">
        <v>2154.5300000000002</v>
      </c>
      <c r="X106" s="137">
        <v>4523.2</v>
      </c>
      <c r="Y106" s="137">
        <v>3252.92</v>
      </c>
      <c r="Z106" s="137">
        <v>0</v>
      </c>
    </row>
    <row r="107" spans="1:26" ht="13.5" hidden="1">
      <c r="A107" s="134">
        <v>6</v>
      </c>
      <c r="B107" s="135" t="s">
        <v>405</v>
      </c>
      <c r="C107" s="136">
        <v>81.42</v>
      </c>
      <c r="D107" s="136">
        <v>385.29</v>
      </c>
      <c r="E107" s="136">
        <v>690.11</v>
      </c>
      <c r="F107" s="136">
        <v>1295.48</v>
      </c>
      <c r="G107" s="136">
        <v>1864.75</v>
      </c>
      <c r="H107" s="136">
        <v>3012.85</v>
      </c>
      <c r="I107" s="136">
        <v>4451.12</v>
      </c>
      <c r="J107" s="136">
        <v>7589.22</v>
      </c>
      <c r="K107" s="136">
        <v>15159.92</v>
      </c>
      <c r="L107" s="136">
        <v>10815.98</v>
      </c>
      <c r="M107" s="136">
        <v>0</v>
      </c>
      <c r="N107" s="137">
        <f t="shared" si="1"/>
        <v>200</v>
      </c>
      <c r="O107" s="137"/>
      <c r="P107" s="137">
        <v>47.07</v>
      </c>
      <c r="Q107" s="137">
        <v>225</v>
      </c>
      <c r="R107" s="137">
        <v>399.45</v>
      </c>
      <c r="S107" s="137">
        <v>749.55</v>
      </c>
      <c r="T107" s="137">
        <v>1078.22</v>
      </c>
      <c r="U107" s="137">
        <v>1743.55</v>
      </c>
      <c r="V107" s="137">
        <v>2575.88</v>
      </c>
      <c r="W107" s="137">
        <v>4391.91</v>
      </c>
      <c r="X107" s="137">
        <v>9055.19</v>
      </c>
      <c r="Y107" s="137">
        <v>6253.43</v>
      </c>
      <c r="Z107" s="137">
        <v>0</v>
      </c>
    </row>
    <row r="108" spans="1:26" ht="13.5" hidden="1">
      <c r="A108" s="134">
        <v>6</v>
      </c>
      <c r="B108" s="135" t="s">
        <v>406</v>
      </c>
      <c r="C108" s="136">
        <v>139.88</v>
      </c>
      <c r="D108" s="136">
        <v>557.92999999999995</v>
      </c>
      <c r="E108" s="136">
        <v>1221.82</v>
      </c>
      <c r="F108" s="136">
        <v>3178.74</v>
      </c>
      <c r="G108" s="136">
        <v>4329.0600000000004</v>
      </c>
      <c r="H108" s="136">
        <v>4887.28</v>
      </c>
      <c r="I108" s="136">
        <v>9522.09</v>
      </c>
      <c r="J108" s="136">
        <v>15178.43</v>
      </c>
      <c r="K108" s="136">
        <v>22955.040000000001</v>
      </c>
      <c r="L108" s="136">
        <v>40673.46</v>
      </c>
      <c r="M108" s="136">
        <v>0</v>
      </c>
      <c r="N108" s="137">
        <f t="shared" si="1"/>
        <v>235</v>
      </c>
      <c r="O108" s="137"/>
      <c r="P108" s="137">
        <v>80.98</v>
      </c>
      <c r="Q108" s="137">
        <v>322.88</v>
      </c>
      <c r="R108" s="137">
        <v>706.93</v>
      </c>
      <c r="S108" s="137">
        <v>1839.03</v>
      </c>
      <c r="T108" s="137">
        <v>2744.94</v>
      </c>
      <c r="U108" s="137">
        <v>2827.72</v>
      </c>
      <c r="V108" s="137">
        <v>5510.47</v>
      </c>
      <c r="W108" s="137">
        <v>8783.82</v>
      </c>
      <c r="X108" s="137">
        <v>13279.78</v>
      </c>
      <c r="Y108" s="137">
        <v>23546.19</v>
      </c>
      <c r="Z108" s="137">
        <v>0</v>
      </c>
    </row>
    <row r="109" spans="1:26" ht="13.5" hidden="1">
      <c r="A109" s="134">
        <v>6</v>
      </c>
      <c r="B109" s="135" t="s">
        <v>482</v>
      </c>
      <c r="C109" s="136">
        <v>497.54</v>
      </c>
      <c r="D109" s="136">
        <v>778.75</v>
      </c>
      <c r="E109" s="136">
        <v>1705.78</v>
      </c>
      <c r="F109" s="136">
        <v>3915.93</v>
      </c>
      <c r="G109" s="136">
        <v>5070.6899999999996</v>
      </c>
      <c r="H109" s="136">
        <v>6823.12</v>
      </c>
      <c r="I109" s="136">
        <v>13161.89</v>
      </c>
      <c r="J109" s="136">
        <v>21757.41</v>
      </c>
      <c r="K109" s="136">
        <v>35243.410000000003</v>
      </c>
      <c r="L109" s="136">
        <v>66632.070000000007</v>
      </c>
      <c r="M109" s="136">
        <v>0</v>
      </c>
      <c r="N109" s="137">
        <f t="shared" si="1"/>
        <v>300</v>
      </c>
      <c r="O109" s="137"/>
      <c r="P109" s="137">
        <v>287.86</v>
      </c>
      <c r="Q109" s="137">
        <v>540.79999999999995</v>
      </c>
      <c r="R109" s="137">
        <v>1184.57</v>
      </c>
      <c r="S109" s="137">
        <v>2460.19</v>
      </c>
      <c r="T109" s="137">
        <v>3521.31</v>
      </c>
      <c r="U109" s="137">
        <v>4732.1400000000003</v>
      </c>
      <c r="V109" s="137">
        <v>9140.2000000000007</v>
      </c>
      <c r="W109" s="137">
        <v>15109.31</v>
      </c>
      <c r="X109" s="137">
        <v>24153.03</v>
      </c>
      <c r="Y109" s="137">
        <v>46272.27</v>
      </c>
      <c r="Z109" s="137">
        <v>0</v>
      </c>
    </row>
    <row r="110" spans="1:26" ht="13.5" hidden="1">
      <c r="A110" s="134">
        <v>6</v>
      </c>
      <c r="B110" s="135" t="s">
        <v>483</v>
      </c>
      <c r="C110" s="136">
        <v>345.22</v>
      </c>
      <c r="D110" s="136">
        <v>853.66</v>
      </c>
      <c r="E110" s="136">
        <v>3070.17</v>
      </c>
      <c r="F110" s="136">
        <v>6495.56</v>
      </c>
      <c r="G110" s="136">
        <v>9022.5400000000009</v>
      </c>
      <c r="H110" s="136">
        <v>12280.68</v>
      </c>
      <c r="I110" s="136">
        <v>19594.650000000001</v>
      </c>
      <c r="J110" s="136">
        <v>31438.53</v>
      </c>
      <c r="K110" s="136">
        <v>49122.7</v>
      </c>
      <c r="L110" s="136">
        <v>73653.37</v>
      </c>
      <c r="M110" s="136">
        <v>0</v>
      </c>
      <c r="N110" s="137">
        <f t="shared" si="1"/>
        <v>350</v>
      </c>
      <c r="O110" s="137"/>
      <c r="P110" s="137">
        <v>199.84</v>
      </c>
      <c r="Q110" s="137">
        <v>493.95</v>
      </c>
      <c r="R110" s="137">
        <v>2132.06</v>
      </c>
      <c r="S110" s="137">
        <v>4510.8100000000004</v>
      </c>
      <c r="T110" s="137">
        <v>6265.65</v>
      </c>
      <c r="U110" s="137">
        <v>8528.25</v>
      </c>
      <c r="V110" s="137">
        <v>12888.22</v>
      </c>
      <c r="W110" s="137">
        <v>21832.31</v>
      </c>
      <c r="X110" s="137">
        <v>34112.99</v>
      </c>
      <c r="Y110" s="137">
        <v>46962.1</v>
      </c>
      <c r="Z110" s="137">
        <v>0</v>
      </c>
    </row>
    <row r="111" spans="1:26" ht="13.5" hidden="1">
      <c r="A111" s="134">
        <v>6</v>
      </c>
      <c r="B111" s="135" t="s">
        <v>484</v>
      </c>
      <c r="C111" s="136">
        <v>442.66</v>
      </c>
      <c r="D111" s="136">
        <v>1449.18</v>
      </c>
      <c r="E111" s="136">
        <v>3503.76</v>
      </c>
      <c r="F111" s="136">
        <v>7439.41</v>
      </c>
      <c r="G111" s="136">
        <v>10836.24</v>
      </c>
      <c r="H111" s="136">
        <v>13481.18</v>
      </c>
      <c r="I111" s="136">
        <v>22783.19</v>
      </c>
      <c r="J111" s="136">
        <v>35598.730000000003</v>
      </c>
      <c r="K111" s="136">
        <v>75316.33</v>
      </c>
      <c r="L111" s="136">
        <v>86330.48</v>
      </c>
      <c r="M111" s="136">
        <v>0</v>
      </c>
      <c r="N111" s="137">
        <f t="shared" si="1"/>
        <v>425</v>
      </c>
      <c r="O111" s="137"/>
      <c r="P111" s="137">
        <v>256.17</v>
      </c>
      <c r="Q111" s="137">
        <v>838.52</v>
      </c>
      <c r="R111" s="137">
        <v>2241.91</v>
      </c>
      <c r="S111" s="137">
        <v>5166.26</v>
      </c>
      <c r="T111" s="137">
        <v>7249.59</v>
      </c>
      <c r="U111" s="137">
        <v>9361.93</v>
      </c>
      <c r="V111" s="137">
        <v>15069.56</v>
      </c>
      <c r="W111" s="137">
        <v>21582.62</v>
      </c>
      <c r="X111" s="137">
        <v>52303</v>
      </c>
      <c r="Y111" s="137">
        <v>49965.53</v>
      </c>
      <c r="Z111" s="137">
        <v>0</v>
      </c>
    </row>
    <row r="112" spans="1:26" ht="13.5" hidden="1">
      <c r="A112" s="134">
        <v>7</v>
      </c>
      <c r="B112" s="135" t="s">
        <v>30</v>
      </c>
      <c r="C112" s="136"/>
      <c r="D112" s="136"/>
      <c r="E112" s="136"/>
      <c r="F112" s="136"/>
      <c r="G112" s="136"/>
      <c r="H112" s="136"/>
      <c r="I112" s="136"/>
      <c r="J112" s="136"/>
      <c r="K112" s="136"/>
      <c r="L112" s="136"/>
      <c r="M112" s="136"/>
      <c r="N112" s="137">
        <f t="shared" si="1"/>
        <v>37.5</v>
      </c>
      <c r="O112" s="137"/>
      <c r="P112" s="137"/>
      <c r="Q112" s="137"/>
      <c r="R112" s="137"/>
      <c r="S112" s="137"/>
      <c r="T112" s="137"/>
      <c r="U112" s="137"/>
      <c r="V112" s="137"/>
      <c r="W112" s="137"/>
      <c r="X112" s="137"/>
      <c r="Y112" s="137"/>
      <c r="Z112" s="137"/>
    </row>
    <row r="113" spans="1:26" ht="13.5" hidden="1">
      <c r="A113" s="134">
        <v>7</v>
      </c>
      <c r="B113" s="135" t="s">
        <v>31</v>
      </c>
      <c r="C113" s="136"/>
      <c r="D113" s="136"/>
      <c r="E113" s="136"/>
      <c r="F113" s="136"/>
      <c r="G113" s="136"/>
      <c r="H113" s="136"/>
      <c r="I113" s="136"/>
      <c r="J113" s="136"/>
      <c r="K113" s="136"/>
      <c r="L113" s="136"/>
      <c r="M113" s="136"/>
      <c r="N113" s="137">
        <f t="shared" si="1"/>
        <v>50</v>
      </c>
      <c r="O113" s="137"/>
      <c r="P113" s="137"/>
      <c r="Q113" s="137"/>
      <c r="R113" s="137"/>
      <c r="S113" s="137"/>
      <c r="T113" s="137"/>
      <c r="U113" s="137"/>
      <c r="V113" s="137"/>
      <c r="W113" s="137"/>
      <c r="X113" s="137"/>
      <c r="Y113" s="137"/>
      <c r="Z113" s="137"/>
    </row>
    <row r="114" spans="1:26" ht="13.5" hidden="1">
      <c r="A114" s="134">
        <v>7</v>
      </c>
      <c r="B114" s="135" t="s">
        <v>32</v>
      </c>
      <c r="C114" s="136"/>
      <c r="D114" s="136"/>
      <c r="E114" s="136"/>
      <c r="F114" s="136"/>
      <c r="G114" s="136"/>
      <c r="H114" s="136"/>
      <c r="I114" s="136"/>
      <c r="J114" s="136"/>
      <c r="K114" s="136"/>
      <c r="L114" s="136"/>
      <c r="M114" s="136"/>
      <c r="N114" s="137">
        <f t="shared" si="1"/>
        <v>75</v>
      </c>
      <c r="O114" s="137"/>
      <c r="P114" s="137"/>
      <c r="Q114" s="137"/>
      <c r="R114" s="137"/>
      <c r="S114" s="137"/>
      <c r="T114" s="137"/>
      <c r="U114" s="137"/>
      <c r="V114" s="137"/>
      <c r="W114" s="137"/>
      <c r="X114" s="137"/>
      <c r="Y114" s="137"/>
      <c r="Z114" s="137"/>
    </row>
    <row r="115" spans="1:26" ht="13.5" hidden="1">
      <c r="A115" s="134">
        <v>7</v>
      </c>
      <c r="B115" s="135" t="s">
        <v>33</v>
      </c>
      <c r="C115" s="136"/>
      <c r="D115" s="136"/>
      <c r="E115" s="136"/>
      <c r="F115" s="136"/>
      <c r="G115" s="136"/>
      <c r="H115" s="136"/>
      <c r="I115" s="136"/>
      <c r="J115" s="136"/>
      <c r="K115" s="136"/>
      <c r="L115" s="136"/>
      <c r="M115" s="136"/>
      <c r="N115" s="137">
        <f t="shared" si="1"/>
        <v>100</v>
      </c>
      <c r="O115" s="137"/>
      <c r="P115" s="137"/>
      <c r="Q115" s="137"/>
      <c r="R115" s="137"/>
      <c r="S115" s="137"/>
      <c r="T115" s="137"/>
      <c r="U115" s="137"/>
      <c r="V115" s="137"/>
      <c r="W115" s="137"/>
      <c r="X115" s="137"/>
      <c r="Y115" s="137"/>
      <c r="Z115" s="137"/>
    </row>
    <row r="116" spans="1:26" ht="13.5" hidden="1">
      <c r="A116" s="134">
        <v>7</v>
      </c>
      <c r="B116" s="135" t="s">
        <v>34</v>
      </c>
      <c r="C116" s="136"/>
      <c r="D116" s="136"/>
      <c r="E116" s="136"/>
      <c r="F116" s="136"/>
      <c r="G116" s="136"/>
      <c r="H116" s="136"/>
      <c r="I116" s="136"/>
      <c r="J116" s="136"/>
      <c r="K116" s="136"/>
      <c r="L116" s="136"/>
      <c r="M116" s="136"/>
      <c r="N116" s="137">
        <f t="shared" si="1"/>
        <v>150</v>
      </c>
      <c r="O116" s="137"/>
      <c r="P116" s="137"/>
      <c r="Q116" s="137"/>
      <c r="R116" s="137"/>
      <c r="S116" s="137"/>
      <c r="T116" s="137"/>
      <c r="U116" s="137"/>
      <c r="V116" s="137"/>
      <c r="W116" s="137"/>
      <c r="X116" s="137"/>
      <c r="Y116" s="137"/>
      <c r="Z116" s="137"/>
    </row>
    <row r="117" spans="1:26" ht="13.5" hidden="1">
      <c r="A117" s="134">
        <v>7</v>
      </c>
      <c r="B117" s="135" t="s">
        <v>35</v>
      </c>
      <c r="C117" s="136"/>
      <c r="D117" s="136"/>
      <c r="E117" s="136"/>
      <c r="F117" s="136"/>
      <c r="G117" s="136"/>
      <c r="H117" s="136"/>
      <c r="I117" s="136"/>
      <c r="J117" s="136"/>
      <c r="K117" s="136"/>
      <c r="L117" s="136"/>
      <c r="M117" s="136"/>
      <c r="N117" s="137">
        <f t="shared" si="1"/>
        <v>225</v>
      </c>
      <c r="O117" s="137"/>
      <c r="P117" s="137"/>
      <c r="Q117" s="137"/>
      <c r="R117" s="137"/>
      <c r="S117" s="137"/>
      <c r="T117" s="137"/>
      <c r="U117" s="137"/>
      <c r="V117" s="137"/>
      <c r="W117" s="137"/>
      <c r="X117" s="137"/>
      <c r="Y117" s="137"/>
      <c r="Z117" s="137"/>
    </row>
    <row r="118" spans="1:26" ht="13.5" hidden="1">
      <c r="A118" s="134">
        <v>7</v>
      </c>
      <c r="B118" s="135" t="s">
        <v>214</v>
      </c>
      <c r="C118" s="136"/>
      <c r="D118" s="136"/>
      <c r="E118" s="136"/>
      <c r="F118" s="136"/>
      <c r="G118" s="136"/>
      <c r="H118" s="136"/>
      <c r="I118" s="136"/>
      <c r="J118" s="136"/>
      <c r="K118" s="136"/>
      <c r="L118" s="136"/>
      <c r="M118" s="136"/>
      <c r="N118" s="137">
        <f t="shared" si="1"/>
        <v>40</v>
      </c>
      <c r="O118" s="137"/>
      <c r="P118" s="137"/>
      <c r="Q118" s="137"/>
      <c r="R118" s="137"/>
      <c r="S118" s="137"/>
      <c r="T118" s="137"/>
      <c r="U118" s="137"/>
      <c r="V118" s="137"/>
      <c r="W118" s="137"/>
      <c r="X118" s="137"/>
      <c r="Y118" s="137"/>
      <c r="Z118" s="137"/>
    </row>
    <row r="119" spans="1:26" ht="13.5" hidden="1">
      <c r="A119" s="134">
        <v>7</v>
      </c>
      <c r="B119" s="135" t="s">
        <v>215</v>
      </c>
      <c r="C119" s="136"/>
      <c r="D119" s="136"/>
      <c r="E119" s="136"/>
      <c r="F119" s="136"/>
      <c r="G119" s="136"/>
      <c r="H119" s="136"/>
      <c r="I119" s="136"/>
      <c r="J119" s="136"/>
      <c r="K119" s="136"/>
      <c r="L119" s="136"/>
      <c r="M119" s="136"/>
      <c r="N119" s="137">
        <f t="shared" si="1"/>
        <v>55</v>
      </c>
      <c r="O119" s="137"/>
      <c r="P119" s="137"/>
      <c r="Q119" s="137"/>
      <c r="R119" s="137"/>
      <c r="S119" s="137"/>
      <c r="T119" s="137"/>
      <c r="U119" s="137"/>
      <c r="V119" s="137"/>
      <c r="W119" s="137"/>
      <c r="X119" s="137"/>
      <c r="Y119" s="137"/>
      <c r="Z119" s="137"/>
    </row>
    <row r="120" spans="1:26" ht="13.5" hidden="1">
      <c r="A120" s="134">
        <v>7</v>
      </c>
      <c r="B120" s="135" t="s">
        <v>216</v>
      </c>
      <c r="C120" s="136"/>
      <c r="D120" s="136"/>
      <c r="E120" s="136"/>
      <c r="F120" s="136"/>
      <c r="G120" s="136"/>
      <c r="H120" s="136"/>
      <c r="I120" s="136"/>
      <c r="J120" s="136"/>
      <c r="K120" s="136"/>
      <c r="L120" s="136"/>
      <c r="M120" s="136"/>
      <c r="N120" s="137">
        <f t="shared" si="1"/>
        <v>80</v>
      </c>
      <c r="O120" s="137"/>
      <c r="P120" s="137"/>
      <c r="Q120" s="137"/>
      <c r="R120" s="137"/>
      <c r="S120" s="137"/>
      <c r="T120" s="137"/>
      <c r="U120" s="137"/>
      <c r="V120" s="137"/>
      <c r="W120" s="137"/>
      <c r="X120" s="137"/>
      <c r="Y120" s="137"/>
      <c r="Z120" s="137"/>
    </row>
    <row r="121" spans="1:26" ht="13.5" hidden="1">
      <c r="A121" s="134">
        <v>7</v>
      </c>
      <c r="B121" s="135" t="s">
        <v>217</v>
      </c>
      <c r="C121" s="136"/>
      <c r="D121" s="136"/>
      <c r="E121" s="136"/>
      <c r="F121" s="136"/>
      <c r="G121" s="136"/>
      <c r="H121" s="136"/>
      <c r="I121" s="136"/>
      <c r="J121" s="136"/>
      <c r="K121" s="136"/>
      <c r="L121" s="136"/>
      <c r="M121" s="136"/>
      <c r="N121" s="137">
        <f t="shared" si="1"/>
        <v>105</v>
      </c>
      <c r="O121" s="137"/>
      <c r="P121" s="137"/>
      <c r="Q121" s="137"/>
      <c r="R121" s="137"/>
      <c r="S121" s="137"/>
      <c r="T121" s="137"/>
      <c r="U121" s="137"/>
      <c r="V121" s="137"/>
      <c r="W121" s="137"/>
      <c r="X121" s="137"/>
      <c r="Y121" s="137"/>
      <c r="Z121" s="137"/>
    </row>
    <row r="122" spans="1:26" ht="13.5" hidden="1">
      <c r="A122" s="134">
        <v>7</v>
      </c>
      <c r="B122" s="135" t="s">
        <v>218</v>
      </c>
      <c r="C122" s="136"/>
      <c r="D122" s="136"/>
      <c r="E122" s="136"/>
      <c r="F122" s="136"/>
      <c r="G122" s="136"/>
      <c r="H122" s="136"/>
      <c r="I122" s="136"/>
      <c r="J122" s="136"/>
      <c r="K122" s="136"/>
      <c r="L122" s="136"/>
      <c r="M122" s="136"/>
      <c r="N122" s="137">
        <f t="shared" si="1"/>
        <v>157.5</v>
      </c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</row>
    <row r="123" spans="1:26" ht="13.5" hidden="1">
      <c r="A123" s="134">
        <v>7</v>
      </c>
      <c r="B123" s="135" t="s">
        <v>219</v>
      </c>
      <c r="C123" s="136"/>
      <c r="D123" s="136"/>
      <c r="E123" s="136"/>
      <c r="F123" s="136"/>
      <c r="G123" s="136"/>
      <c r="H123" s="136"/>
      <c r="I123" s="136"/>
      <c r="J123" s="136"/>
      <c r="K123" s="136"/>
      <c r="L123" s="136"/>
      <c r="M123" s="136"/>
      <c r="N123" s="137">
        <f t="shared" si="1"/>
        <v>200</v>
      </c>
      <c r="O123" s="137"/>
      <c r="P123" s="137"/>
      <c r="Q123" s="137"/>
      <c r="R123" s="137"/>
      <c r="S123" s="137"/>
      <c r="T123" s="137"/>
      <c r="U123" s="137"/>
      <c r="V123" s="137"/>
      <c r="W123" s="137"/>
      <c r="X123" s="137"/>
      <c r="Y123" s="137"/>
      <c r="Z123" s="137"/>
    </row>
    <row r="124" spans="1:26" ht="13.5" hidden="1">
      <c r="A124" s="134">
        <v>7</v>
      </c>
      <c r="B124" s="135" t="s">
        <v>220</v>
      </c>
      <c r="C124" s="136"/>
      <c r="D124" s="136"/>
      <c r="E124" s="136"/>
      <c r="F124" s="136"/>
      <c r="G124" s="136"/>
      <c r="H124" s="136"/>
      <c r="I124" s="136"/>
      <c r="J124" s="136"/>
      <c r="K124" s="136"/>
      <c r="L124" s="136"/>
      <c r="M124" s="136"/>
      <c r="N124" s="137">
        <f t="shared" si="1"/>
        <v>235</v>
      </c>
      <c r="O124" s="137"/>
      <c r="P124" s="137"/>
      <c r="Q124" s="137"/>
      <c r="R124" s="137"/>
      <c r="S124" s="137"/>
      <c r="T124" s="137"/>
      <c r="U124" s="137"/>
      <c r="V124" s="137"/>
      <c r="W124" s="137"/>
      <c r="X124" s="137"/>
      <c r="Y124" s="137"/>
      <c r="Z124" s="137"/>
    </row>
    <row r="125" spans="1:26" ht="13.5" hidden="1">
      <c r="A125" s="134">
        <v>7</v>
      </c>
      <c r="B125" s="135" t="s">
        <v>480</v>
      </c>
      <c r="C125" s="136"/>
      <c r="D125" s="136"/>
      <c r="E125" s="136"/>
      <c r="F125" s="136"/>
      <c r="G125" s="136"/>
      <c r="H125" s="136"/>
      <c r="I125" s="136"/>
      <c r="J125" s="136"/>
      <c r="K125" s="136"/>
      <c r="L125" s="136"/>
      <c r="M125" s="136"/>
      <c r="N125" s="137">
        <f t="shared" si="1"/>
        <v>55</v>
      </c>
      <c r="O125" s="137"/>
      <c r="P125" s="137"/>
      <c r="Q125" s="137"/>
      <c r="R125" s="137"/>
      <c r="S125" s="137"/>
      <c r="T125" s="137"/>
      <c r="U125" s="137"/>
      <c r="V125" s="137"/>
      <c r="W125" s="137"/>
      <c r="X125" s="137"/>
      <c r="Y125" s="137"/>
      <c r="Z125" s="137"/>
    </row>
    <row r="126" spans="1:26" ht="13.5" hidden="1">
      <c r="A126" s="134">
        <v>7</v>
      </c>
      <c r="B126" s="135" t="s">
        <v>481</v>
      </c>
      <c r="C126" s="136"/>
      <c r="D126" s="136"/>
      <c r="E126" s="136"/>
      <c r="F126" s="136"/>
      <c r="G126" s="136"/>
      <c r="H126" s="136"/>
      <c r="I126" s="136"/>
      <c r="J126" s="136"/>
      <c r="K126" s="136"/>
      <c r="L126" s="136"/>
      <c r="M126" s="136"/>
      <c r="N126" s="137">
        <f t="shared" si="1"/>
        <v>80</v>
      </c>
      <c r="O126" s="137"/>
      <c r="P126" s="137"/>
      <c r="Q126" s="137"/>
      <c r="R126" s="137"/>
      <c r="S126" s="137"/>
      <c r="T126" s="137"/>
      <c r="U126" s="137"/>
      <c r="V126" s="137"/>
      <c r="W126" s="137"/>
      <c r="X126" s="137"/>
      <c r="Y126" s="137"/>
      <c r="Z126" s="137"/>
    </row>
    <row r="127" spans="1:26" ht="13.5" hidden="1">
      <c r="A127" s="134">
        <v>7</v>
      </c>
      <c r="B127" s="135" t="s">
        <v>403</v>
      </c>
      <c r="C127" s="136"/>
      <c r="D127" s="136"/>
      <c r="E127" s="136"/>
      <c r="F127" s="136"/>
      <c r="G127" s="136"/>
      <c r="H127" s="136"/>
      <c r="I127" s="136"/>
      <c r="J127" s="136"/>
      <c r="K127" s="136"/>
      <c r="L127" s="136"/>
      <c r="M127" s="136"/>
      <c r="N127" s="137">
        <f t="shared" si="1"/>
        <v>105</v>
      </c>
      <c r="O127" s="137"/>
      <c r="P127" s="137"/>
      <c r="Q127" s="137"/>
      <c r="R127" s="137"/>
      <c r="S127" s="137"/>
      <c r="T127" s="137"/>
      <c r="U127" s="137"/>
      <c r="V127" s="137"/>
      <c r="W127" s="137"/>
      <c r="X127" s="137"/>
      <c r="Y127" s="137"/>
      <c r="Z127" s="137"/>
    </row>
    <row r="128" spans="1:26" ht="13.5" hidden="1">
      <c r="A128" s="134">
        <v>7</v>
      </c>
      <c r="B128" s="135" t="s">
        <v>404</v>
      </c>
      <c r="C128" s="136"/>
      <c r="D128" s="136"/>
      <c r="E128" s="136"/>
      <c r="F128" s="136"/>
      <c r="G128" s="136"/>
      <c r="H128" s="136"/>
      <c r="I128" s="136"/>
      <c r="J128" s="136"/>
      <c r="K128" s="136"/>
      <c r="L128" s="136"/>
      <c r="M128" s="136"/>
      <c r="N128" s="137">
        <f t="shared" si="1"/>
        <v>157.5</v>
      </c>
      <c r="O128" s="137"/>
      <c r="P128" s="137"/>
      <c r="Q128" s="137"/>
      <c r="R128" s="137"/>
      <c r="S128" s="137"/>
      <c r="T128" s="137"/>
      <c r="U128" s="137"/>
      <c r="V128" s="137"/>
      <c r="W128" s="137"/>
      <c r="X128" s="137"/>
      <c r="Y128" s="137"/>
      <c r="Z128" s="137"/>
    </row>
    <row r="129" spans="1:26" ht="13.5" hidden="1">
      <c r="A129" s="134">
        <v>7</v>
      </c>
      <c r="B129" s="135" t="s">
        <v>405</v>
      </c>
      <c r="C129" s="136"/>
      <c r="D129" s="136"/>
      <c r="E129" s="136"/>
      <c r="F129" s="136"/>
      <c r="G129" s="136"/>
      <c r="H129" s="136"/>
      <c r="I129" s="136"/>
      <c r="J129" s="136"/>
      <c r="K129" s="136"/>
      <c r="L129" s="136"/>
      <c r="M129" s="136"/>
      <c r="N129" s="137">
        <f t="shared" si="1"/>
        <v>200</v>
      </c>
      <c r="O129" s="137"/>
      <c r="P129" s="137"/>
      <c r="Q129" s="137"/>
      <c r="R129" s="137"/>
      <c r="S129" s="137"/>
      <c r="T129" s="137"/>
      <c r="U129" s="137"/>
      <c r="V129" s="137"/>
      <c r="W129" s="137"/>
      <c r="X129" s="137"/>
      <c r="Y129" s="137"/>
      <c r="Z129" s="137"/>
    </row>
    <row r="130" spans="1:26" ht="13.5" hidden="1">
      <c r="A130" s="134">
        <v>7</v>
      </c>
      <c r="B130" s="135" t="s">
        <v>406</v>
      </c>
      <c r="C130" s="136"/>
      <c r="D130" s="136"/>
      <c r="E130" s="136"/>
      <c r="F130" s="136"/>
      <c r="G130" s="136"/>
      <c r="H130" s="136"/>
      <c r="I130" s="136"/>
      <c r="J130" s="136"/>
      <c r="K130" s="136"/>
      <c r="L130" s="136"/>
      <c r="M130" s="136"/>
      <c r="N130" s="137">
        <f t="shared" si="1"/>
        <v>235</v>
      </c>
      <c r="O130" s="137"/>
      <c r="P130" s="137"/>
      <c r="Q130" s="137"/>
      <c r="R130" s="137"/>
      <c r="S130" s="137"/>
      <c r="T130" s="137"/>
      <c r="U130" s="137"/>
      <c r="V130" s="137"/>
      <c r="W130" s="137"/>
      <c r="X130" s="137"/>
      <c r="Y130" s="137"/>
      <c r="Z130" s="137"/>
    </row>
    <row r="131" spans="1:26" ht="13.5" hidden="1">
      <c r="A131" s="134">
        <v>7</v>
      </c>
      <c r="B131" s="135" t="s">
        <v>482</v>
      </c>
      <c r="C131" s="136"/>
      <c r="D131" s="136"/>
      <c r="E131" s="136"/>
      <c r="F131" s="136"/>
      <c r="G131" s="136"/>
      <c r="H131" s="136"/>
      <c r="I131" s="136"/>
      <c r="J131" s="136"/>
      <c r="K131" s="136"/>
      <c r="L131" s="136"/>
      <c r="M131" s="136"/>
      <c r="N131" s="137">
        <f t="shared" si="1"/>
        <v>300</v>
      </c>
      <c r="O131" s="137"/>
      <c r="P131" s="137"/>
      <c r="Q131" s="137"/>
      <c r="R131" s="137"/>
      <c r="S131" s="137"/>
      <c r="T131" s="137"/>
      <c r="U131" s="137"/>
      <c r="V131" s="137"/>
      <c r="W131" s="137"/>
      <c r="X131" s="137"/>
      <c r="Y131" s="137"/>
      <c r="Z131" s="137"/>
    </row>
    <row r="132" spans="1:26" ht="13.5" hidden="1">
      <c r="A132" s="134">
        <v>7</v>
      </c>
      <c r="B132" s="135" t="s">
        <v>483</v>
      </c>
      <c r="C132" s="136"/>
      <c r="D132" s="136"/>
      <c r="E132" s="136"/>
      <c r="F132" s="136"/>
      <c r="G132" s="136"/>
      <c r="H132" s="136"/>
      <c r="I132" s="136"/>
      <c r="J132" s="136"/>
      <c r="K132" s="136"/>
      <c r="L132" s="136"/>
      <c r="M132" s="136"/>
      <c r="N132" s="137">
        <f t="shared" si="1"/>
        <v>350</v>
      </c>
      <c r="O132" s="137"/>
      <c r="P132" s="137"/>
      <c r="Q132" s="137"/>
      <c r="R132" s="137"/>
      <c r="S132" s="137"/>
      <c r="T132" s="137"/>
      <c r="U132" s="137"/>
      <c r="V132" s="137"/>
      <c r="W132" s="137"/>
      <c r="X132" s="137"/>
      <c r="Y132" s="137"/>
      <c r="Z132" s="137"/>
    </row>
    <row r="133" spans="1:26" ht="13.5" hidden="1">
      <c r="A133" s="134">
        <v>7</v>
      </c>
      <c r="B133" s="135" t="s">
        <v>484</v>
      </c>
      <c r="C133" s="136"/>
      <c r="D133" s="136"/>
      <c r="E133" s="136"/>
      <c r="F133" s="136"/>
      <c r="G133" s="136"/>
      <c r="H133" s="136"/>
      <c r="I133" s="136"/>
      <c r="J133" s="136"/>
      <c r="K133" s="136"/>
      <c r="L133" s="136"/>
      <c r="M133" s="136"/>
      <c r="N133" s="137">
        <f t="shared" si="1"/>
        <v>425</v>
      </c>
      <c r="O133" s="137"/>
      <c r="P133" s="137"/>
      <c r="Q133" s="137"/>
      <c r="R133" s="137"/>
      <c r="S133" s="137"/>
      <c r="T133" s="137"/>
      <c r="U133" s="137"/>
      <c r="V133" s="137"/>
      <c r="W133" s="137"/>
      <c r="X133" s="137"/>
      <c r="Y133" s="137"/>
      <c r="Z133" s="137"/>
    </row>
    <row r="134" spans="1:26" ht="13.5" hidden="1">
      <c r="A134" s="134">
        <v>8</v>
      </c>
      <c r="B134" s="135" t="s">
        <v>30</v>
      </c>
      <c r="C134" s="342">
        <v>4.01</v>
      </c>
      <c r="D134" s="342">
        <v>5.94</v>
      </c>
      <c r="E134" s="342">
        <v>14.76</v>
      </c>
      <c r="F134" s="342">
        <v>25.38</v>
      </c>
      <c r="G134" s="342">
        <v>35.700000000000003</v>
      </c>
      <c r="H134" s="342">
        <v>46.63</v>
      </c>
      <c r="I134" s="342"/>
      <c r="J134" s="342"/>
      <c r="K134" s="342"/>
      <c r="L134" s="342"/>
      <c r="M134" s="342"/>
      <c r="N134" s="137">
        <f t="shared" si="1"/>
        <v>37.5</v>
      </c>
      <c r="O134" s="137"/>
      <c r="P134" s="343">
        <v>2.78</v>
      </c>
      <c r="Q134" s="343">
        <v>4.13</v>
      </c>
      <c r="R134" s="343">
        <v>10.25</v>
      </c>
      <c r="S134" s="343">
        <v>17.62</v>
      </c>
      <c r="T134" s="343">
        <v>24.79</v>
      </c>
      <c r="U134" s="343">
        <v>32.380000000000003</v>
      </c>
      <c r="V134" s="343"/>
      <c r="W134" s="343"/>
      <c r="X134" s="343"/>
      <c r="Y134" s="343"/>
      <c r="Z134" s="343"/>
    </row>
    <row r="135" spans="1:26" ht="13.5" hidden="1">
      <c r="A135" s="134">
        <v>8</v>
      </c>
      <c r="B135" s="135" t="s">
        <v>31</v>
      </c>
      <c r="C135" s="342">
        <v>7.79</v>
      </c>
      <c r="D135" s="342">
        <v>13.85</v>
      </c>
      <c r="E135" s="342">
        <v>27.16</v>
      </c>
      <c r="F135" s="342">
        <v>55.44</v>
      </c>
      <c r="G135" s="342">
        <v>83.19</v>
      </c>
      <c r="H135" s="342">
        <v>108.66</v>
      </c>
      <c r="I135" s="342">
        <v>200.15</v>
      </c>
      <c r="J135" s="342">
        <v>299.70999999999998</v>
      </c>
      <c r="K135" s="342">
        <v>550.15</v>
      </c>
      <c r="L135" s="342">
        <v>1073.43</v>
      </c>
      <c r="M135" s="342">
        <v>1738.78</v>
      </c>
      <c r="N135" s="137">
        <f t="shared" si="1"/>
        <v>50</v>
      </c>
      <c r="O135" s="137"/>
      <c r="P135" s="343">
        <v>5.4</v>
      </c>
      <c r="Q135" s="343">
        <v>9.6199999999999992</v>
      </c>
      <c r="R135" s="343">
        <v>18.86</v>
      </c>
      <c r="S135" s="343">
        <v>38.49</v>
      </c>
      <c r="T135" s="343">
        <v>57.77</v>
      </c>
      <c r="U135" s="343">
        <v>75.459999999999994</v>
      </c>
      <c r="V135" s="343">
        <v>138.99</v>
      </c>
      <c r="W135" s="343">
        <v>208.13</v>
      </c>
      <c r="X135" s="343">
        <v>382.05</v>
      </c>
      <c r="Y135" s="343">
        <v>745.43</v>
      </c>
      <c r="Z135" s="343">
        <v>1207.48</v>
      </c>
    </row>
    <row r="136" spans="1:26" ht="13.5" hidden="1">
      <c r="A136" s="134">
        <v>8</v>
      </c>
      <c r="B136" s="135" t="s">
        <v>32</v>
      </c>
      <c r="C136" s="342">
        <v>14.84</v>
      </c>
      <c r="D136" s="342">
        <v>26.4</v>
      </c>
      <c r="E136" s="342">
        <v>51.77</v>
      </c>
      <c r="F136" s="342">
        <v>105.69</v>
      </c>
      <c r="G136" s="342">
        <v>158.62</v>
      </c>
      <c r="H136" s="342">
        <v>207.19</v>
      </c>
      <c r="I136" s="342">
        <v>381.63</v>
      </c>
      <c r="J136" s="342">
        <v>571.47</v>
      </c>
      <c r="K136" s="342">
        <v>1049.01</v>
      </c>
      <c r="L136" s="342">
        <v>2046.77</v>
      </c>
      <c r="M136" s="342">
        <v>3315.46</v>
      </c>
      <c r="N136" s="137">
        <f t="shared" si="1"/>
        <v>75</v>
      </c>
      <c r="O136" s="137"/>
      <c r="P136" s="343">
        <v>10.29</v>
      </c>
      <c r="Q136" s="343">
        <v>18.32</v>
      </c>
      <c r="R136" s="343">
        <v>35.94</v>
      </c>
      <c r="S136" s="343">
        <v>73.39</v>
      </c>
      <c r="T136" s="343">
        <v>110.14</v>
      </c>
      <c r="U136" s="343">
        <v>143.87</v>
      </c>
      <c r="V136" s="343">
        <v>265.01</v>
      </c>
      <c r="W136" s="343">
        <v>396.84</v>
      </c>
      <c r="X136" s="343">
        <v>728.47</v>
      </c>
      <c r="Y136" s="343">
        <v>1421.36</v>
      </c>
      <c r="Z136" s="343">
        <v>2302.39</v>
      </c>
    </row>
    <row r="137" spans="1:26" ht="13.5" hidden="1">
      <c r="A137" s="134">
        <v>8</v>
      </c>
      <c r="B137" s="135" t="s">
        <v>33</v>
      </c>
      <c r="C137" s="342">
        <v>29.21</v>
      </c>
      <c r="D137" s="342">
        <v>53.92</v>
      </c>
      <c r="E137" s="342">
        <v>104.92</v>
      </c>
      <c r="F137" s="342">
        <v>230.01</v>
      </c>
      <c r="G137" s="342">
        <v>297.55</v>
      </c>
      <c r="H137" s="342">
        <v>394.86</v>
      </c>
      <c r="I137" s="342">
        <v>861.69</v>
      </c>
      <c r="J137" s="342">
        <v>1290.31</v>
      </c>
      <c r="K137" s="342">
        <v>2368.4899999999998</v>
      </c>
      <c r="L137" s="342">
        <v>4621.22</v>
      </c>
      <c r="M137" s="342">
        <v>7485.62</v>
      </c>
      <c r="N137" s="137">
        <f t="shared" si="1"/>
        <v>100</v>
      </c>
      <c r="O137" s="137"/>
      <c r="P137" s="343">
        <v>20.28</v>
      </c>
      <c r="Q137" s="343">
        <v>37.44</v>
      </c>
      <c r="R137" s="343">
        <v>72.86</v>
      </c>
      <c r="S137" s="343">
        <v>159.72</v>
      </c>
      <c r="T137" s="343">
        <v>206.63</v>
      </c>
      <c r="U137" s="343">
        <v>274.20999999999998</v>
      </c>
      <c r="V137" s="343">
        <v>598.4</v>
      </c>
      <c r="W137" s="343">
        <v>896.05</v>
      </c>
      <c r="X137" s="343">
        <v>1644.78</v>
      </c>
      <c r="Y137" s="343">
        <v>3209.18</v>
      </c>
      <c r="Z137" s="343">
        <v>5198.3500000000004</v>
      </c>
    </row>
    <row r="138" spans="1:26" ht="13.5" hidden="1">
      <c r="A138" s="134">
        <v>8</v>
      </c>
      <c r="B138" s="135" t="s">
        <v>34</v>
      </c>
      <c r="C138" s="342">
        <v>56.23</v>
      </c>
      <c r="D138" s="342">
        <v>122.2</v>
      </c>
      <c r="E138" s="342">
        <v>213.02</v>
      </c>
      <c r="F138" s="342">
        <v>494.2</v>
      </c>
      <c r="G138" s="342">
        <v>682.47</v>
      </c>
      <c r="H138" s="342">
        <v>879.18</v>
      </c>
      <c r="I138" s="342">
        <v>2587.75</v>
      </c>
      <c r="J138" s="342">
        <v>3266.43</v>
      </c>
      <c r="K138" s="342">
        <v>6783.46</v>
      </c>
      <c r="L138" s="342">
        <v>11884.73</v>
      </c>
      <c r="M138" s="342">
        <v>21589.919999999998</v>
      </c>
      <c r="N138" s="137">
        <f t="shared" si="1"/>
        <v>150</v>
      </c>
      <c r="O138" s="137"/>
      <c r="P138" s="343">
        <v>32.229999999999997</v>
      </c>
      <c r="Q138" s="343">
        <v>75.48</v>
      </c>
      <c r="R138" s="343">
        <v>147.71</v>
      </c>
      <c r="S138" s="343">
        <v>342.97</v>
      </c>
      <c r="T138" s="343">
        <v>473.71</v>
      </c>
      <c r="U138" s="343">
        <v>610.32000000000005</v>
      </c>
      <c r="V138" s="343">
        <v>1796.82</v>
      </c>
      <c r="W138" s="343">
        <v>2268.13</v>
      </c>
      <c r="X138" s="343">
        <v>4710.51</v>
      </c>
      <c r="Y138" s="343">
        <v>8253.06</v>
      </c>
      <c r="Z138" s="343">
        <v>14992.78</v>
      </c>
    </row>
    <row r="139" spans="1:26" ht="13.5" hidden="1">
      <c r="A139" s="134">
        <v>8</v>
      </c>
      <c r="B139" s="135" t="s">
        <v>35</v>
      </c>
      <c r="C139" s="136"/>
      <c r="D139" s="136"/>
      <c r="E139" s="136"/>
      <c r="F139" s="136"/>
      <c r="G139" s="136"/>
      <c r="H139" s="136"/>
      <c r="I139" s="136"/>
      <c r="J139" s="136"/>
      <c r="K139" s="136"/>
      <c r="L139" s="136"/>
      <c r="M139" s="136"/>
      <c r="N139" s="137">
        <f t="shared" si="1"/>
        <v>225</v>
      </c>
      <c r="O139" s="137"/>
      <c r="P139" s="137"/>
      <c r="Q139" s="137"/>
      <c r="R139" s="137"/>
      <c r="S139" s="137"/>
      <c r="T139" s="137"/>
      <c r="U139" s="137"/>
      <c r="V139" s="137"/>
      <c r="W139" s="137"/>
      <c r="X139" s="137"/>
      <c r="Y139" s="137"/>
      <c r="Z139" s="137"/>
    </row>
    <row r="140" spans="1:26" ht="13.5" hidden="1">
      <c r="A140" s="134">
        <v>8</v>
      </c>
      <c r="B140" s="135" t="s">
        <v>214</v>
      </c>
      <c r="C140" s="342">
        <v>4.01</v>
      </c>
      <c r="D140" s="342">
        <v>5.95</v>
      </c>
      <c r="E140" s="342">
        <v>14.77</v>
      </c>
      <c r="F140" s="342">
        <v>25.38</v>
      </c>
      <c r="G140" s="342">
        <v>35.700000000000003</v>
      </c>
      <c r="H140" s="342">
        <v>46.64</v>
      </c>
      <c r="I140" s="342"/>
      <c r="J140" s="342"/>
      <c r="K140" s="342"/>
      <c r="L140" s="342"/>
      <c r="M140" s="342"/>
      <c r="N140" s="137">
        <f t="shared" si="1"/>
        <v>40</v>
      </c>
      <c r="O140" s="137"/>
      <c r="P140" s="343">
        <v>2.79</v>
      </c>
      <c r="Q140" s="343">
        <v>4.13</v>
      </c>
      <c r="R140" s="343">
        <v>10.25</v>
      </c>
      <c r="S140" s="343">
        <v>17.62</v>
      </c>
      <c r="T140" s="343">
        <v>24.79</v>
      </c>
      <c r="U140" s="343">
        <v>32.380000000000003</v>
      </c>
      <c r="V140" s="343"/>
      <c r="W140" s="343"/>
      <c r="X140" s="343"/>
      <c r="Y140" s="343"/>
      <c r="Z140" s="343"/>
    </row>
    <row r="141" spans="1:26" ht="13.5" hidden="1">
      <c r="A141" s="134">
        <v>8</v>
      </c>
      <c r="B141" s="135" t="s">
        <v>215</v>
      </c>
      <c r="C141" s="342">
        <v>9.36</v>
      </c>
      <c r="D141" s="342">
        <v>14.66</v>
      </c>
      <c r="E141" s="342">
        <v>33.409999999999997</v>
      </c>
      <c r="F141" s="342">
        <v>63.44</v>
      </c>
      <c r="G141" s="342">
        <v>90.45</v>
      </c>
      <c r="H141" s="342">
        <v>111.92</v>
      </c>
      <c r="I141" s="342">
        <v>310.41000000000003</v>
      </c>
      <c r="J141" s="342">
        <v>464.81</v>
      </c>
      <c r="K141" s="342">
        <v>853.21</v>
      </c>
      <c r="L141" s="342">
        <v>1535.58</v>
      </c>
      <c r="M141" s="342">
        <v>2696.59</v>
      </c>
      <c r="N141" s="137">
        <f t="shared" si="1"/>
        <v>55</v>
      </c>
      <c r="O141" s="137"/>
      <c r="P141" s="343">
        <v>6.49</v>
      </c>
      <c r="Q141" s="343">
        <v>10.18</v>
      </c>
      <c r="R141" s="343">
        <v>23.2</v>
      </c>
      <c r="S141" s="343">
        <v>44.05</v>
      </c>
      <c r="T141" s="343">
        <v>62.81</v>
      </c>
      <c r="U141" s="343">
        <v>77.72</v>
      </c>
      <c r="V141" s="343">
        <v>215.56</v>
      </c>
      <c r="W141" s="343">
        <v>322.77999999999997</v>
      </c>
      <c r="X141" s="343">
        <v>592.5</v>
      </c>
      <c r="Y141" s="343">
        <v>1066.3699999999999</v>
      </c>
      <c r="Z141" s="343">
        <v>1872.62</v>
      </c>
    </row>
    <row r="142" spans="1:26" ht="13.5" hidden="1">
      <c r="A142" s="134">
        <v>8</v>
      </c>
      <c r="B142" s="135" t="s">
        <v>216</v>
      </c>
      <c r="C142" s="342">
        <v>16.920000000000002</v>
      </c>
      <c r="D142" s="342">
        <v>29.31</v>
      </c>
      <c r="E142" s="342">
        <v>62.15</v>
      </c>
      <c r="F142" s="342">
        <v>128.46</v>
      </c>
      <c r="G142" s="342">
        <v>171.36</v>
      </c>
      <c r="H142" s="342">
        <v>214.5</v>
      </c>
      <c r="I142" s="342">
        <v>624.17999999999995</v>
      </c>
      <c r="J142" s="342">
        <v>934.66</v>
      </c>
      <c r="K142" s="342">
        <v>1731.43</v>
      </c>
      <c r="L142" s="342">
        <v>3163.28</v>
      </c>
      <c r="M142" s="342">
        <v>5124.01</v>
      </c>
      <c r="N142" s="137">
        <f t="shared" si="1"/>
        <v>80</v>
      </c>
      <c r="O142" s="137"/>
      <c r="P142" s="343">
        <v>11.06</v>
      </c>
      <c r="Q142" s="343">
        <v>20.34</v>
      </c>
      <c r="R142" s="343">
        <v>43.15</v>
      </c>
      <c r="S142" s="343">
        <v>89.19</v>
      </c>
      <c r="T142" s="343">
        <v>118.99</v>
      </c>
      <c r="U142" s="343">
        <v>148.94999999999999</v>
      </c>
      <c r="V142" s="343">
        <v>433.44</v>
      </c>
      <c r="W142" s="343">
        <v>649.05999999999995</v>
      </c>
      <c r="X142" s="343">
        <v>1202.3699999999999</v>
      </c>
      <c r="Y142" s="343">
        <v>2196.71</v>
      </c>
      <c r="Z142" s="343">
        <v>3558.33</v>
      </c>
    </row>
    <row r="143" spans="1:26" ht="13.5" hidden="1">
      <c r="A143" s="134">
        <v>8</v>
      </c>
      <c r="B143" s="135" t="s">
        <v>217</v>
      </c>
      <c r="C143" s="342">
        <v>32.24</v>
      </c>
      <c r="D143" s="342">
        <v>59.78</v>
      </c>
      <c r="E143" s="342">
        <v>114.16</v>
      </c>
      <c r="F143" s="342">
        <v>256.89</v>
      </c>
      <c r="G143" s="342">
        <v>395.06</v>
      </c>
      <c r="H143" s="342">
        <v>519.14</v>
      </c>
      <c r="I143" s="342">
        <v>1339.95</v>
      </c>
      <c r="J143" s="342">
        <v>1732.1</v>
      </c>
      <c r="K143" s="342">
        <v>3588.75</v>
      </c>
      <c r="L143" s="342">
        <v>6848.63</v>
      </c>
      <c r="M143" s="342">
        <v>12436.91</v>
      </c>
      <c r="N143" s="137">
        <f t="shared" si="1"/>
        <v>105</v>
      </c>
      <c r="O143" s="137"/>
      <c r="P143" s="343">
        <v>22.1</v>
      </c>
      <c r="Q143" s="343">
        <v>41.48</v>
      </c>
      <c r="R143" s="343">
        <v>79.25</v>
      </c>
      <c r="S143" s="343">
        <v>178.36</v>
      </c>
      <c r="T143" s="343">
        <v>274.32</v>
      </c>
      <c r="U143" s="343">
        <v>360.49</v>
      </c>
      <c r="V143" s="343">
        <v>930.49</v>
      </c>
      <c r="W143" s="343">
        <v>1202.81</v>
      </c>
      <c r="X143" s="343">
        <v>2492.16</v>
      </c>
      <c r="Y143" s="343">
        <v>4755.96</v>
      </c>
      <c r="Z143" s="343">
        <v>8636.7099999999991</v>
      </c>
    </row>
    <row r="144" spans="1:26" ht="13.5" hidden="1">
      <c r="A144" s="134">
        <v>8</v>
      </c>
      <c r="B144" s="135" t="s">
        <v>218</v>
      </c>
      <c r="C144" s="342">
        <v>118.63</v>
      </c>
      <c r="D144" s="342">
        <v>243.98</v>
      </c>
      <c r="E144" s="342">
        <v>442.35</v>
      </c>
      <c r="F144" s="342">
        <v>1011.38</v>
      </c>
      <c r="G144" s="342">
        <v>1382.37</v>
      </c>
      <c r="H144" s="342">
        <v>1445.09</v>
      </c>
      <c r="I144" s="342">
        <v>4443.5200000000004</v>
      </c>
      <c r="J144" s="342">
        <v>6654.1</v>
      </c>
      <c r="K144" s="342">
        <v>12214.79</v>
      </c>
      <c r="L144" s="342">
        <v>23833.21</v>
      </c>
      <c r="M144" s="342">
        <v>38606.300000000003</v>
      </c>
      <c r="N144" s="137">
        <f t="shared" si="1"/>
        <v>157.5</v>
      </c>
      <c r="O144" s="137"/>
      <c r="P144" s="343">
        <v>82.16</v>
      </c>
      <c r="Q144" s="343">
        <v>141.37</v>
      </c>
      <c r="R144" s="343">
        <v>306.97000000000003</v>
      </c>
      <c r="S144" s="343">
        <v>702.13</v>
      </c>
      <c r="T144" s="343">
        <v>959.76</v>
      </c>
      <c r="U144" s="343">
        <v>1003.31</v>
      </c>
      <c r="V144" s="343">
        <v>3085.56</v>
      </c>
      <c r="W144" s="343">
        <v>4620.68</v>
      </c>
      <c r="X144" s="343">
        <v>8482.27</v>
      </c>
      <c r="Y144" s="343">
        <v>16550.62</v>
      </c>
      <c r="Z144" s="343">
        <v>26809.71</v>
      </c>
    </row>
    <row r="145" spans="1:26" ht="13.5" hidden="1">
      <c r="A145" s="134">
        <v>8</v>
      </c>
      <c r="B145" s="135" t="s">
        <v>219</v>
      </c>
      <c r="C145" s="342">
        <v>185.47</v>
      </c>
      <c r="D145" s="342">
        <v>360.96</v>
      </c>
      <c r="E145" s="342">
        <v>623.82000000000005</v>
      </c>
      <c r="F145" s="342">
        <v>1430.56</v>
      </c>
      <c r="G145" s="342">
        <v>2092.94</v>
      </c>
      <c r="H145" s="342">
        <v>2529.02</v>
      </c>
      <c r="I145" s="342">
        <v>8184.31</v>
      </c>
      <c r="J145" s="342">
        <v>12256.16</v>
      </c>
      <c r="K145" s="342">
        <v>22498.85</v>
      </c>
      <c r="L145" s="342">
        <v>42595.37</v>
      </c>
      <c r="M145" s="342">
        <v>71111.62</v>
      </c>
      <c r="N145" s="137">
        <f t="shared" si="1"/>
        <v>200</v>
      </c>
      <c r="O145" s="137"/>
      <c r="P145" s="343">
        <v>114.64</v>
      </c>
      <c r="Q145" s="343">
        <v>250.08</v>
      </c>
      <c r="R145" s="343">
        <v>432.62</v>
      </c>
      <c r="S145" s="343">
        <v>992.86</v>
      </c>
      <c r="T145" s="343">
        <v>1452.85</v>
      </c>
      <c r="U145" s="343">
        <v>1755.68</v>
      </c>
      <c r="V145" s="343">
        <v>5682.96</v>
      </c>
      <c r="W145" s="343">
        <v>8510.6299999999992</v>
      </c>
      <c r="X145" s="343">
        <v>15623.62</v>
      </c>
      <c r="Y145" s="343">
        <v>29579.54</v>
      </c>
      <c r="Z145" s="343">
        <v>49382.49</v>
      </c>
    </row>
    <row r="146" spans="1:26" ht="13.5" hidden="1">
      <c r="A146" s="134">
        <v>8</v>
      </c>
      <c r="B146" s="135" t="s">
        <v>220</v>
      </c>
      <c r="C146" s="342">
        <v>278.92</v>
      </c>
      <c r="D146" s="342">
        <v>473.02</v>
      </c>
      <c r="E146" s="342">
        <v>990.56</v>
      </c>
      <c r="F146" s="342">
        <v>2216.5</v>
      </c>
      <c r="G146" s="342">
        <v>3137.89</v>
      </c>
      <c r="H146" s="342">
        <v>4056.29</v>
      </c>
      <c r="I146" s="342">
        <v>13407.62</v>
      </c>
      <c r="J146" s="342">
        <v>19607.169999999998</v>
      </c>
      <c r="K146" s="342">
        <v>38733.22</v>
      </c>
      <c r="L146" s="342">
        <v>67991.56</v>
      </c>
      <c r="M146" s="342">
        <v>117052.8</v>
      </c>
      <c r="N146" s="137">
        <f t="shared" si="1"/>
        <v>235</v>
      </c>
      <c r="O146" s="137"/>
      <c r="P146" s="343">
        <v>192.35</v>
      </c>
      <c r="Q146" s="343">
        <v>271.88</v>
      </c>
      <c r="R146" s="343">
        <v>681.52</v>
      </c>
      <c r="S146" s="343">
        <v>1537.89</v>
      </c>
      <c r="T146" s="343">
        <v>2177.75</v>
      </c>
      <c r="U146" s="343">
        <v>2815.52</v>
      </c>
      <c r="V146" s="343">
        <v>9309.51</v>
      </c>
      <c r="W146" s="343">
        <v>13614.74</v>
      </c>
      <c r="X146" s="343">
        <v>26896.720000000001</v>
      </c>
      <c r="Y146" s="343">
        <v>47215.02</v>
      </c>
      <c r="Z146" s="343">
        <v>81285.320000000007</v>
      </c>
    </row>
    <row r="147" spans="1:26" ht="13.5" hidden="1">
      <c r="A147" s="134">
        <v>8</v>
      </c>
      <c r="B147" s="135" t="s">
        <v>480</v>
      </c>
      <c r="C147" s="136">
        <v>12.37</v>
      </c>
      <c r="D147" s="136">
        <v>23.38</v>
      </c>
      <c r="E147" s="136">
        <v>35.409999999999997</v>
      </c>
      <c r="F147" s="136">
        <v>82.84</v>
      </c>
      <c r="G147" s="136">
        <v>99.65</v>
      </c>
      <c r="H147" s="136">
        <v>0</v>
      </c>
      <c r="I147" s="136">
        <v>0</v>
      </c>
      <c r="J147" s="136">
        <v>0</v>
      </c>
      <c r="K147" s="136">
        <v>0</v>
      </c>
      <c r="L147" s="136">
        <v>0</v>
      </c>
      <c r="M147" s="136">
        <v>0</v>
      </c>
      <c r="N147" s="137">
        <f t="shared" si="1"/>
        <v>55</v>
      </c>
      <c r="O147" s="137"/>
      <c r="P147" s="137">
        <v>7.56</v>
      </c>
      <c r="Q147" s="137">
        <v>16.239999999999998</v>
      </c>
      <c r="R147" s="137">
        <v>24.59</v>
      </c>
      <c r="S147" s="137">
        <v>57.53</v>
      </c>
      <c r="T147" s="137">
        <v>69.2</v>
      </c>
      <c r="U147" s="137">
        <v>0</v>
      </c>
      <c r="V147" s="137">
        <v>0</v>
      </c>
      <c r="W147" s="137">
        <v>0</v>
      </c>
      <c r="X147" s="137">
        <v>0</v>
      </c>
      <c r="Y147" s="137">
        <v>0</v>
      </c>
      <c r="Z147" s="137">
        <v>0</v>
      </c>
    </row>
    <row r="148" spans="1:26" ht="13.5" hidden="1">
      <c r="A148" s="134">
        <v>8</v>
      </c>
      <c r="B148" s="135" t="s">
        <v>481</v>
      </c>
      <c r="C148" s="136">
        <v>29.06</v>
      </c>
      <c r="D148" s="136">
        <v>48.7</v>
      </c>
      <c r="E148" s="136">
        <v>67.989999999999995</v>
      </c>
      <c r="F148" s="136">
        <v>219.11</v>
      </c>
      <c r="G148" s="136">
        <v>281.08</v>
      </c>
      <c r="H148" s="136">
        <v>350.14</v>
      </c>
      <c r="I148" s="136">
        <v>0</v>
      </c>
      <c r="J148" s="136">
        <v>0</v>
      </c>
      <c r="K148" s="136">
        <v>0</v>
      </c>
      <c r="L148" s="136">
        <v>0</v>
      </c>
      <c r="M148" s="136">
        <v>0</v>
      </c>
      <c r="N148" s="137">
        <f t="shared" si="1"/>
        <v>80</v>
      </c>
      <c r="O148" s="137"/>
      <c r="P148" s="137">
        <v>16.600000000000001</v>
      </c>
      <c r="Q148" s="137">
        <v>31.23</v>
      </c>
      <c r="R148" s="137">
        <v>39.22</v>
      </c>
      <c r="S148" s="137">
        <v>145.72999999999999</v>
      </c>
      <c r="T148" s="137">
        <v>161.46</v>
      </c>
      <c r="U148" s="137">
        <v>201.23</v>
      </c>
      <c r="V148" s="137">
        <v>0</v>
      </c>
      <c r="W148" s="137">
        <v>0</v>
      </c>
      <c r="X148" s="137">
        <v>0</v>
      </c>
      <c r="Y148" s="137">
        <v>0</v>
      </c>
      <c r="Z148" s="137">
        <v>0</v>
      </c>
    </row>
    <row r="149" spans="1:26" ht="13.5" hidden="1">
      <c r="A149" s="134">
        <v>8</v>
      </c>
      <c r="B149" s="135" t="s">
        <v>403</v>
      </c>
      <c r="C149" s="136">
        <v>48.95</v>
      </c>
      <c r="D149" s="136">
        <v>82.29</v>
      </c>
      <c r="E149" s="136">
        <v>156.37</v>
      </c>
      <c r="F149" s="136">
        <v>266.3</v>
      </c>
      <c r="G149" s="136">
        <v>565.99</v>
      </c>
      <c r="H149" s="136">
        <v>656.53</v>
      </c>
      <c r="I149" s="136">
        <v>1229.2</v>
      </c>
      <c r="J149" s="136">
        <v>2248.66</v>
      </c>
      <c r="K149" s="136">
        <v>0</v>
      </c>
      <c r="L149" s="136">
        <v>0</v>
      </c>
      <c r="M149" s="136">
        <v>0</v>
      </c>
      <c r="N149" s="137">
        <f t="shared" si="1"/>
        <v>105</v>
      </c>
      <c r="O149" s="137"/>
      <c r="P149" s="137">
        <v>28.29</v>
      </c>
      <c r="Q149" s="137">
        <v>47.62</v>
      </c>
      <c r="R149" s="137">
        <v>90.49</v>
      </c>
      <c r="S149" s="137">
        <v>154.57</v>
      </c>
      <c r="T149" s="137">
        <v>356.65</v>
      </c>
      <c r="U149" s="137">
        <v>380.48</v>
      </c>
      <c r="V149" s="137">
        <v>769.33</v>
      </c>
      <c r="W149" s="137">
        <v>1301.31</v>
      </c>
      <c r="X149" s="137">
        <v>0</v>
      </c>
      <c r="Y149" s="137">
        <v>0</v>
      </c>
      <c r="Z149" s="137">
        <v>0</v>
      </c>
    </row>
    <row r="150" spans="1:26" ht="13.5" hidden="1">
      <c r="A150" s="134">
        <v>8</v>
      </c>
      <c r="B150" s="135" t="s">
        <v>404</v>
      </c>
      <c r="C150" s="136">
        <v>161.97999999999999</v>
      </c>
      <c r="D150" s="136">
        <v>257.27</v>
      </c>
      <c r="E150" s="136">
        <v>527.1</v>
      </c>
      <c r="F150" s="136">
        <v>1057.8599999999999</v>
      </c>
      <c r="G150" s="136">
        <v>1630.19</v>
      </c>
      <c r="H150" s="136">
        <v>2380.19</v>
      </c>
      <c r="I150" s="136">
        <v>4231.4399999999996</v>
      </c>
      <c r="J150" s="136">
        <v>5355.42</v>
      </c>
      <c r="K150" s="136">
        <v>11330.48</v>
      </c>
      <c r="L150" s="136">
        <v>10004.530000000001</v>
      </c>
      <c r="M150" s="136">
        <v>0</v>
      </c>
      <c r="N150" s="137">
        <f t="shared" si="1"/>
        <v>157.5</v>
      </c>
      <c r="O150" s="137"/>
      <c r="P150" s="137">
        <v>100.89</v>
      </c>
      <c r="Q150" s="137">
        <v>178.66</v>
      </c>
      <c r="R150" s="137">
        <v>366.04</v>
      </c>
      <c r="S150" s="137">
        <v>673.5</v>
      </c>
      <c r="T150" s="137">
        <v>1132.07</v>
      </c>
      <c r="U150" s="137">
        <v>1548.18</v>
      </c>
      <c r="V150" s="137">
        <v>2694.01</v>
      </c>
      <c r="W150" s="137">
        <v>3719.04</v>
      </c>
      <c r="X150" s="137">
        <v>7868.39</v>
      </c>
      <c r="Y150" s="137">
        <v>5782.97</v>
      </c>
      <c r="Z150" s="137">
        <v>0</v>
      </c>
    </row>
    <row r="151" spans="1:26" ht="13.5" hidden="1">
      <c r="A151" s="134">
        <v>8</v>
      </c>
      <c r="B151" s="135" t="s">
        <v>405</v>
      </c>
      <c r="C151" s="136">
        <v>144.74</v>
      </c>
      <c r="D151" s="136">
        <v>530.41999999999996</v>
      </c>
      <c r="E151" s="136">
        <v>1096.07</v>
      </c>
      <c r="F151" s="136">
        <v>2061.5</v>
      </c>
      <c r="G151" s="136">
        <v>2627.82</v>
      </c>
      <c r="H151" s="136">
        <v>4384.2700000000004</v>
      </c>
      <c r="I151" s="136">
        <v>6995.4</v>
      </c>
      <c r="J151" s="136">
        <v>12884.38</v>
      </c>
      <c r="K151" s="136">
        <v>20870.57</v>
      </c>
      <c r="L151" s="136">
        <v>19228.419999999998</v>
      </c>
      <c r="M151" s="136">
        <v>0</v>
      </c>
      <c r="N151" s="137">
        <f t="shared" si="1"/>
        <v>200</v>
      </c>
      <c r="O151" s="137"/>
      <c r="P151" s="137">
        <v>83.68</v>
      </c>
      <c r="Q151" s="137">
        <v>368.35</v>
      </c>
      <c r="R151" s="137">
        <v>710.13</v>
      </c>
      <c r="S151" s="137">
        <v>1332.54</v>
      </c>
      <c r="T151" s="137">
        <v>1824.88</v>
      </c>
      <c r="U151" s="137">
        <v>3044.63</v>
      </c>
      <c r="V151" s="137">
        <v>4579.34</v>
      </c>
      <c r="W151" s="137">
        <v>7807.84</v>
      </c>
      <c r="X151" s="137">
        <v>14493.45</v>
      </c>
      <c r="Y151" s="137">
        <v>11117.2</v>
      </c>
      <c r="Z151" s="137">
        <v>0</v>
      </c>
    </row>
    <row r="152" spans="1:26" ht="13.5" hidden="1">
      <c r="A152" s="134">
        <v>8</v>
      </c>
      <c r="B152" s="135" t="s">
        <v>406</v>
      </c>
      <c r="C152" s="136">
        <v>248.67</v>
      </c>
      <c r="D152" s="136">
        <v>899.28</v>
      </c>
      <c r="E152" s="136">
        <v>1864.75</v>
      </c>
      <c r="F152" s="136">
        <v>4552.62</v>
      </c>
      <c r="G152" s="136">
        <v>5946.28</v>
      </c>
      <c r="H152" s="136">
        <v>7459.01</v>
      </c>
      <c r="I152" s="136">
        <v>14388.52</v>
      </c>
      <c r="J152" s="136">
        <v>23785.11</v>
      </c>
      <c r="K152" s="136">
        <v>38527.949999999997</v>
      </c>
      <c r="L152" s="136">
        <v>72308.38</v>
      </c>
      <c r="M152" s="136">
        <v>0</v>
      </c>
      <c r="N152" s="137">
        <f t="shared" si="1"/>
        <v>235</v>
      </c>
      <c r="O152" s="137"/>
      <c r="P152" s="137">
        <v>143.97</v>
      </c>
      <c r="Q152" s="137">
        <v>574.01</v>
      </c>
      <c r="R152" s="137">
        <v>1256.76</v>
      </c>
      <c r="S152" s="137">
        <v>3161.54</v>
      </c>
      <c r="T152" s="137">
        <v>4129.3599999999997</v>
      </c>
      <c r="U152" s="137">
        <v>5027.0600000000004</v>
      </c>
      <c r="V152" s="137">
        <v>9796.39</v>
      </c>
      <c r="W152" s="137">
        <v>15615.67</v>
      </c>
      <c r="X152" s="137">
        <v>23608.49</v>
      </c>
      <c r="Y152" s="137">
        <v>41859.879999999997</v>
      </c>
      <c r="Z152" s="137">
        <v>0</v>
      </c>
    </row>
    <row r="153" spans="1:26" ht="13.5" hidden="1">
      <c r="A153" s="134">
        <v>8</v>
      </c>
      <c r="B153" s="135" t="s">
        <v>482</v>
      </c>
      <c r="C153" s="136">
        <v>824.64</v>
      </c>
      <c r="D153" s="136">
        <v>1088.03</v>
      </c>
      <c r="E153" s="136">
        <v>2383.2199999999998</v>
      </c>
      <c r="F153" s="136">
        <v>5471.11</v>
      </c>
      <c r="G153" s="136">
        <v>7084.47</v>
      </c>
      <c r="H153" s="136">
        <v>9532.8700000000008</v>
      </c>
      <c r="I153" s="136">
        <v>18389.02</v>
      </c>
      <c r="J153" s="136">
        <v>30398.17</v>
      </c>
      <c r="K153" s="136">
        <v>49240.01</v>
      </c>
      <c r="L153" s="136">
        <v>93094.39</v>
      </c>
      <c r="M153" s="136">
        <v>0</v>
      </c>
      <c r="N153" s="137">
        <f t="shared" ref="N153:N216" si="2">+N131</f>
        <v>300</v>
      </c>
      <c r="O153" s="137"/>
      <c r="P153" s="137">
        <v>511.75</v>
      </c>
      <c r="Q153" s="137">
        <v>755.57</v>
      </c>
      <c r="R153" s="137">
        <v>1655.01</v>
      </c>
      <c r="S153" s="137">
        <v>3799.38</v>
      </c>
      <c r="T153" s="137">
        <v>4919.7700000000004</v>
      </c>
      <c r="U153" s="137">
        <v>6620.05</v>
      </c>
      <c r="V153" s="137">
        <v>12770.15</v>
      </c>
      <c r="W153" s="137">
        <v>21109.84</v>
      </c>
      <c r="X153" s="137">
        <v>34194.449999999997</v>
      </c>
      <c r="Y153" s="137">
        <v>64648.88</v>
      </c>
      <c r="Z153" s="137">
        <v>0</v>
      </c>
    </row>
    <row r="154" spans="1:26" ht="13.5" hidden="1">
      <c r="A154" s="134">
        <v>8</v>
      </c>
      <c r="B154" s="135" t="s">
        <v>483</v>
      </c>
      <c r="C154" s="136">
        <v>613.73</v>
      </c>
      <c r="D154" s="136">
        <v>1517.62</v>
      </c>
      <c r="E154" s="136">
        <v>4252.3100000000004</v>
      </c>
      <c r="F154" s="136">
        <v>8996.6299999999992</v>
      </c>
      <c r="G154" s="136">
        <v>12496.59</v>
      </c>
      <c r="H154" s="136">
        <v>17009.25</v>
      </c>
      <c r="I154" s="136">
        <v>27139.42</v>
      </c>
      <c r="J154" s="136">
        <v>43543.69</v>
      </c>
      <c r="K154" s="136">
        <v>68037.02</v>
      </c>
      <c r="L154" s="136">
        <v>102013.02</v>
      </c>
      <c r="M154" s="136">
        <v>0</v>
      </c>
      <c r="N154" s="137">
        <f t="shared" si="2"/>
        <v>350</v>
      </c>
      <c r="O154" s="137"/>
      <c r="P154" s="137">
        <v>355.27</v>
      </c>
      <c r="Q154" s="137">
        <v>878.13</v>
      </c>
      <c r="R154" s="137">
        <v>2953</v>
      </c>
      <c r="S154" s="137">
        <v>6247.66</v>
      </c>
      <c r="T154" s="137">
        <v>8678.19</v>
      </c>
      <c r="U154" s="137">
        <v>11811.98</v>
      </c>
      <c r="V154" s="137">
        <v>18846.82</v>
      </c>
      <c r="W154" s="137">
        <v>30238.67</v>
      </c>
      <c r="X154" s="137">
        <v>47247.93</v>
      </c>
      <c r="Y154" s="137">
        <v>70842.37</v>
      </c>
      <c r="Z154" s="137">
        <v>0</v>
      </c>
    </row>
    <row r="155" spans="1:26" ht="13.5" hidden="1">
      <c r="A155" s="134">
        <v>8</v>
      </c>
      <c r="B155" s="135" t="s">
        <v>484</v>
      </c>
      <c r="C155" s="136">
        <v>786.94</v>
      </c>
      <c r="D155" s="136">
        <v>2576.3200000000002</v>
      </c>
      <c r="E155" s="136">
        <v>5101</v>
      </c>
      <c r="F155" s="136">
        <v>10830.78</v>
      </c>
      <c r="G155" s="136">
        <v>15776.11</v>
      </c>
      <c r="H155" s="136">
        <v>19626.79</v>
      </c>
      <c r="I155" s="136">
        <v>33169.269999999997</v>
      </c>
      <c r="J155" s="136">
        <v>51826.99</v>
      </c>
      <c r="K155" s="136">
        <v>109650.48</v>
      </c>
      <c r="L155" s="136">
        <v>143963.85</v>
      </c>
      <c r="M155" s="136">
        <v>0</v>
      </c>
      <c r="N155" s="137">
        <f t="shared" si="2"/>
        <v>425</v>
      </c>
      <c r="O155" s="137"/>
      <c r="P155" s="137">
        <v>455.41</v>
      </c>
      <c r="Q155" s="137">
        <v>1490.71</v>
      </c>
      <c r="R155" s="137">
        <v>3542.36</v>
      </c>
      <c r="S155" s="137">
        <v>7521.38</v>
      </c>
      <c r="T155" s="137">
        <v>10955.63</v>
      </c>
      <c r="U155" s="137">
        <v>13629.71</v>
      </c>
      <c r="V155" s="137">
        <v>23034.22</v>
      </c>
      <c r="W155" s="137">
        <v>35990.959999999999</v>
      </c>
      <c r="X155" s="137">
        <v>76146.17</v>
      </c>
      <c r="Y155" s="137">
        <v>88827.61</v>
      </c>
      <c r="Z155" s="137">
        <v>0</v>
      </c>
    </row>
    <row r="156" spans="1:26" ht="13.5" hidden="1">
      <c r="A156" s="134">
        <v>9</v>
      </c>
      <c r="B156" s="135" t="s">
        <v>30</v>
      </c>
      <c r="C156" s="136"/>
      <c r="D156" s="136"/>
      <c r="E156" s="136"/>
      <c r="F156" s="136"/>
      <c r="G156" s="136"/>
      <c r="H156" s="136"/>
      <c r="I156" s="136"/>
      <c r="J156" s="136"/>
      <c r="K156" s="136"/>
      <c r="L156" s="136"/>
      <c r="M156" s="136"/>
      <c r="N156" s="137">
        <f t="shared" si="2"/>
        <v>37.5</v>
      </c>
      <c r="O156" s="137"/>
      <c r="P156" s="137"/>
      <c r="Q156" s="137"/>
      <c r="R156" s="137"/>
      <c r="S156" s="137"/>
      <c r="T156" s="137"/>
      <c r="U156" s="137"/>
      <c r="V156" s="137"/>
      <c r="W156" s="137"/>
      <c r="X156" s="137"/>
      <c r="Y156" s="137"/>
      <c r="Z156" s="137"/>
    </row>
    <row r="157" spans="1:26" ht="13.5" hidden="1">
      <c r="A157" s="134">
        <v>9</v>
      </c>
      <c r="B157" s="135" t="s">
        <v>31</v>
      </c>
      <c r="C157" s="136"/>
      <c r="D157" s="136"/>
      <c r="E157" s="136"/>
      <c r="F157" s="136"/>
      <c r="G157" s="136"/>
      <c r="H157" s="136"/>
      <c r="I157" s="136"/>
      <c r="J157" s="136"/>
      <c r="K157" s="136"/>
      <c r="L157" s="136"/>
      <c r="M157" s="136"/>
      <c r="N157" s="137">
        <f t="shared" si="2"/>
        <v>50</v>
      </c>
      <c r="O157" s="137"/>
      <c r="P157" s="137"/>
      <c r="Q157" s="137"/>
      <c r="R157" s="137"/>
      <c r="S157" s="137"/>
      <c r="T157" s="137"/>
      <c r="U157" s="137"/>
      <c r="V157" s="137"/>
      <c r="W157" s="137"/>
      <c r="X157" s="137"/>
      <c r="Y157" s="137"/>
      <c r="Z157" s="137"/>
    </row>
    <row r="158" spans="1:26" ht="13.5" hidden="1">
      <c r="A158" s="134">
        <v>9</v>
      </c>
      <c r="B158" s="135" t="s">
        <v>32</v>
      </c>
      <c r="C158" s="136"/>
      <c r="D158" s="136"/>
      <c r="E158" s="136"/>
      <c r="F158" s="136"/>
      <c r="G158" s="136"/>
      <c r="H158" s="136"/>
      <c r="I158" s="136"/>
      <c r="J158" s="136"/>
      <c r="K158" s="136"/>
      <c r="L158" s="136"/>
      <c r="M158" s="136"/>
      <c r="N158" s="137">
        <f t="shared" si="2"/>
        <v>75</v>
      </c>
      <c r="O158" s="137"/>
      <c r="P158" s="137"/>
      <c r="Q158" s="137"/>
      <c r="R158" s="137"/>
      <c r="S158" s="137"/>
      <c r="T158" s="137"/>
      <c r="U158" s="137"/>
      <c r="V158" s="137"/>
      <c r="W158" s="137"/>
      <c r="X158" s="137"/>
      <c r="Y158" s="137"/>
      <c r="Z158" s="137"/>
    </row>
    <row r="159" spans="1:26" ht="13.5" hidden="1">
      <c r="A159" s="134">
        <v>9</v>
      </c>
      <c r="B159" s="135" t="s">
        <v>33</v>
      </c>
      <c r="C159" s="136"/>
      <c r="D159" s="136"/>
      <c r="E159" s="136"/>
      <c r="F159" s="136"/>
      <c r="G159" s="136"/>
      <c r="H159" s="136"/>
      <c r="I159" s="136"/>
      <c r="J159" s="136"/>
      <c r="K159" s="136"/>
      <c r="L159" s="136"/>
      <c r="M159" s="136"/>
      <c r="N159" s="137">
        <f t="shared" si="2"/>
        <v>100</v>
      </c>
      <c r="O159" s="137"/>
      <c r="P159" s="137"/>
      <c r="Q159" s="137"/>
      <c r="R159" s="137"/>
      <c r="S159" s="137"/>
      <c r="T159" s="137"/>
      <c r="U159" s="137"/>
      <c r="V159" s="137"/>
      <c r="W159" s="137"/>
      <c r="X159" s="137"/>
      <c r="Y159" s="137"/>
      <c r="Z159" s="137"/>
    </row>
    <row r="160" spans="1:26" ht="13.5" hidden="1">
      <c r="A160" s="134">
        <v>9</v>
      </c>
      <c r="B160" s="135" t="s">
        <v>34</v>
      </c>
      <c r="C160" s="136"/>
      <c r="D160" s="136"/>
      <c r="E160" s="136"/>
      <c r="F160" s="136"/>
      <c r="G160" s="136"/>
      <c r="H160" s="136"/>
      <c r="I160" s="136"/>
      <c r="J160" s="136"/>
      <c r="K160" s="136"/>
      <c r="L160" s="136"/>
      <c r="M160" s="136"/>
      <c r="N160" s="137">
        <f t="shared" si="2"/>
        <v>150</v>
      </c>
      <c r="O160" s="137"/>
      <c r="P160" s="137"/>
      <c r="Q160" s="137"/>
      <c r="R160" s="137"/>
      <c r="S160" s="137"/>
      <c r="T160" s="137"/>
      <c r="U160" s="137"/>
      <c r="V160" s="137"/>
      <c r="W160" s="137"/>
      <c r="X160" s="137"/>
      <c r="Y160" s="137"/>
      <c r="Z160" s="137"/>
    </row>
    <row r="161" spans="1:26" ht="13.5" hidden="1">
      <c r="A161" s="134">
        <v>9</v>
      </c>
      <c r="B161" s="135" t="s">
        <v>35</v>
      </c>
      <c r="C161" s="136"/>
      <c r="D161" s="136"/>
      <c r="E161" s="136"/>
      <c r="F161" s="136"/>
      <c r="G161" s="136"/>
      <c r="H161" s="136"/>
      <c r="I161" s="136"/>
      <c r="J161" s="136"/>
      <c r="K161" s="136"/>
      <c r="L161" s="136"/>
      <c r="M161" s="136"/>
      <c r="N161" s="137">
        <f t="shared" si="2"/>
        <v>225</v>
      </c>
      <c r="O161" s="137"/>
      <c r="P161" s="137"/>
      <c r="Q161" s="137"/>
      <c r="R161" s="137"/>
      <c r="S161" s="137"/>
      <c r="T161" s="137"/>
      <c r="U161" s="137"/>
      <c r="V161" s="137"/>
      <c r="W161" s="137"/>
      <c r="X161" s="137"/>
      <c r="Y161" s="137"/>
      <c r="Z161" s="137"/>
    </row>
    <row r="162" spans="1:26" ht="13.5" hidden="1">
      <c r="A162" s="134">
        <v>9</v>
      </c>
      <c r="B162" s="135" t="s">
        <v>214</v>
      </c>
      <c r="C162" s="136"/>
      <c r="D162" s="136"/>
      <c r="E162" s="136"/>
      <c r="F162" s="136"/>
      <c r="G162" s="136"/>
      <c r="H162" s="136"/>
      <c r="I162" s="136"/>
      <c r="J162" s="136"/>
      <c r="K162" s="136"/>
      <c r="L162" s="136"/>
      <c r="M162" s="136"/>
      <c r="N162" s="137">
        <f t="shared" si="2"/>
        <v>40</v>
      </c>
      <c r="O162" s="137"/>
      <c r="P162" s="137"/>
      <c r="Q162" s="137"/>
      <c r="R162" s="137"/>
      <c r="S162" s="137"/>
      <c r="T162" s="137"/>
      <c r="U162" s="137"/>
      <c r="V162" s="137"/>
      <c r="W162" s="137"/>
      <c r="X162" s="137"/>
      <c r="Y162" s="137"/>
      <c r="Z162" s="137"/>
    </row>
    <row r="163" spans="1:26" ht="13.5" hidden="1">
      <c r="A163" s="134">
        <v>9</v>
      </c>
      <c r="B163" s="135" t="s">
        <v>215</v>
      </c>
      <c r="C163" s="136"/>
      <c r="D163" s="136"/>
      <c r="E163" s="136"/>
      <c r="F163" s="136"/>
      <c r="G163" s="136"/>
      <c r="H163" s="136"/>
      <c r="I163" s="136"/>
      <c r="J163" s="136"/>
      <c r="K163" s="136"/>
      <c r="L163" s="136"/>
      <c r="M163" s="136"/>
      <c r="N163" s="137">
        <f t="shared" si="2"/>
        <v>55</v>
      </c>
      <c r="O163" s="137"/>
      <c r="P163" s="137"/>
      <c r="Q163" s="137"/>
      <c r="R163" s="137"/>
      <c r="S163" s="137"/>
      <c r="T163" s="137"/>
      <c r="U163" s="137"/>
      <c r="V163" s="137"/>
      <c r="W163" s="137"/>
      <c r="X163" s="137"/>
      <c r="Y163" s="137"/>
      <c r="Z163" s="137"/>
    </row>
    <row r="164" spans="1:26" ht="13.5" hidden="1">
      <c r="A164" s="134">
        <v>9</v>
      </c>
      <c r="B164" s="135" t="s">
        <v>216</v>
      </c>
      <c r="C164" s="136"/>
      <c r="D164" s="136"/>
      <c r="E164" s="136"/>
      <c r="F164" s="136"/>
      <c r="G164" s="136"/>
      <c r="H164" s="136"/>
      <c r="I164" s="136"/>
      <c r="J164" s="136"/>
      <c r="K164" s="136"/>
      <c r="L164" s="136"/>
      <c r="M164" s="136"/>
      <c r="N164" s="137">
        <f t="shared" si="2"/>
        <v>80</v>
      </c>
      <c r="O164" s="137"/>
      <c r="P164" s="137"/>
      <c r="Q164" s="137"/>
      <c r="R164" s="137"/>
      <c r="S164" s="137"/>
      <c r="T164" s="137"/>
      <c r="U164" s="137"/>
      <c r="V164" s="137"/>
      <c r="W164" s="137"/>
      <c r="X164" s="137"/>
      <c r="Y164" s="137"/>
      <c r="Z164" s="137"/>
    </row>
    <row r="165" spans="1:26" ht="13.5" hidden="1">
      <c r="A165" s="134">
        <v>9</v>
      </c>
      <c r="B165" s="135" t="s">
        <v>217</v>
      </c>
      <c r="C165" s="136"/>
      <c r="D165" s="136"/>
      <c r="E165" s="136"/>
      <c r="F165" s="136"/>
      <c r="G165" s="136"/>
      <c r="H165" s="136"/>
      <c r="I165" s="136"/>
      <c r="J165" s="136"/>
      <c r="K165" s="136"/>
      <c r="L165" s="136"/>
      <c r="M165" s="136"/>
      <c r="N165" s="137">
        <f t="shared" si="2"/>
        <v>105</v>
      </c>
      <c r="O165" s="137"/>
      <c r="P165" s="137"/>
      <c r="Q165" s="137"/>
      <c r="R165" s="137"/>
      <c r="S165" s="137"/>
      <c r="T165" s="137"/>
      <c r="U165" s="137"/>
      <c r="V165" s="137"/>
      <c r="W165" s="137"/>
      <c r="X165" s="137"/>
      <c r="Y165" s="137"/>
      <c r="Z165" s="137"/>
    </row>
    <row r="166" spans="1:26" ht="13.5" hidden="1">
      <c r="A166" s="134">
        <v>9</v>
      </c>
      <c r="B166" s="135" t="s">
        <v>218</v>
      </c>
      <c r="C166" s="136"/>
      <c r="D166" s="136"/>
      <c r="E166" s="136"/>
      <c r="F166" s="136"/>
      <c r="G166" s="136"/>
      <c r="H166" s="136"/>
      <c r="I166" s="136"/>
      <c r="J166" s="136"/>
      <c r="K166" s="136"/>
      <c r="L166" s="136"/>
      <c r="M166" s="136"/>
      <c r="N166" s="137">
        <f t="shared" si="2"/>
        <v>157.5</v>
      </c>
      <c r="O166" s="137"/>
      <c r="P166" s="137"/>
      <c r="Q166" s="137"/>
      <c r="R166" s="137"/>
      <c r="S166" s="137"/>
      <c r="T166" s="137"/>
      <c r="U166" s="137"/>
      <c r="V166" s="137"/>
      <c r="W166" s="137"/>
      <c r="X166" s="137"/>
      <c r="Y166" s="137"/>
      <c r="Z166" s="137"/>
    </row>
    <row r="167" spans="1:26" ht="13.5" hidden="1">
      <c r="A167" s="134">
        <v>9</v>
      </c>
      <c r="B167" s="135" t="s">
        <v>219</v>
      </c>
      <c r="C167" s="136"/>
      <c r="D167" s="136"/>
      <c r="E167" s="136"/>
      <c r="F167" s="136"/>
      <c r="G167" s="136"/>
      <c r="H167" s="136"/>
      <c r="I167" s="136"/>
      <c r="J167" s="136"/>
      <c r="K167" s="136"/>
      <c r="L167" s="136"/>
      <c r="M167" s="136"/>
      <c r="N167" s="137">
        <f t="shared" si="2"/>
        <v>200</v>
      </c>
      <c r="O167" s="137"/>
      <c r="P167" s="137"/>
      <c r="Q167" s="137"/>
      <c r="R167" s="137"/>
      <c r="S167" s="137"/>
      <c r="T167" s="137"/>
      <c r="U167" s="137"/>
      <c r="V167" s="137"/>
      <c r="W167" s="137"/>
      <c r="X167" s="137"/>
      <c r="Y167" s="137"/>
      <c r="Z167" s="137"/>
    </row>
    <row r="168" spans="1:26" ht="13.5" hidden="1">
      <c r="A168" s="134">
        <v>9</v>
      </c>
      <c r="B168" s="135" t="s">
        <v>220</v>
      </c>
      <c r="C168" s="136"/>
      <c r="D168" s="136"/>
      <c r="E168" s="136"/>
      <c r="F168" s="136"/>
      <c r="G168" s="136"/>
      <c r="H168" s="136"/>
      <c r="I168" s="136"/>
      <c r="J168" s="136"/>
      <c r="K168" s="136"/>
      <c r="L168" s="136"/>
      <c r="M168" s="136"/>
      <c r="N168" s="137">
        <f t="shared" si="2"/>
        <v>235</v>
      </c>
      <c r="O168" s="137"/>
      <c r="P168" s="137"/>
      <c r="Q168" s="137"/>
      <c r="R168" s="137"/>
      <c r="S168" s="137"/>
      <c r="T168" s="137"/>
      <c r="U168" s="137"/>
      <c r="V168" s="137"/>
      <c r="W168" s="137"/>
      <c r="X168" s="137"/>
      <c r="Y168" s="137"/>
      <c r="Z168" s="137"/>
    </row>
    <row r="169" spans="1:26" ht="13.5" hidden="1">
      <c r="A169" s="134">
        <v>9</v>
      </c>
      <c r="B169" s="135" t="s">
        <v>480</v>
      </c>
      <c r="C169" s="136"/>
      <c r="D169" s="136"/>
      <c r="E169" s="136"/>
      <c r="F169" s="136"/>
      <c r="G169" s="136"/>
      <c r="H169" s="136"/>
      <c r="I169" s="136"/>
      <c r="J169" s="136"/>
      <c r="K169" s="136"/>
      <c r="L169" s="136"/>
      <c r="M169" s="136"/>
      <c r="N169" s="137">
        <f t="shared" si="2"/>
        <v>55</v>
      </c>
      <c r="O169" s="137"/>
      <c r="P169" s="137"/>
      <c r="Q169" s="137"/>
      <c r="R169" s="137"/>
      <c r="S169" s="137"/>
      <c r="T169" s="137"/>
      <c r="U169" s="137"/>
      <c r="V169" s="137"/>
      <c r="W169" s="137"/>
      <c r="X169" s="137"/>
      <c r="Y169" s="137"/>
      <c r="Z169" s="137"/>
    </row>
    <row r="170" spans="1:26" ht="13.5" hidden="1">
      <c r="A170" s="134">
        <v>9</v>
      </c>
      <c r="B170" s="135" t="s">
        <v>481</v>
      </c>
      <c r="C170" s="136"/>
      <c r="D170" s="136"/>
      <c r="E170" s="136"/>
      <c r="F170" s="136"/>
      <c r="G170" s="136"/>
      <c r="H170" s="136"/>
      <c r="I170" s="136"/>
      <c r="J170" s="136"/>
      <c r="K170" s="136"/>
      <c r="L170" s="136"/>
      <c r="M170" s="136"/>
      <c r="N170" s="137">
        <f t="shared" si="2"/>
        <v>80</v>
      </c>
      <c r="O170" s="137"/>
      <c r="P170" s="137"/>
      <c r="Q170" s="137"/>
      <c r="R170" s="137"/>
      <c r="S170" s="137"/>
      <c r="T170" s="137"/>
      <c r="U170" s="137"/>
      <c r="V170" s="137"/>
      <c r="W170" s="137"/>
      <c r="X170" s="137"/>
      <c r="Y170" s="137"/>
      <c r="Z170" s="137"/>
    </row>
    <row r="171" spans="1:26" ht="13.5" hidden="1">
      <c r="A171" s="134">
        <v>9</v>
      </c>
      <c r="B171" s="135" t="s">
        <v>403</v>
      </c>
      <c r="C171" s="136"/>
      <c r="D171" s="136"/>
      <c r="E171" s="136"/>
      <c r="F171" s="136"/>
      <c r="G171" s="136"/>
      <c r="H171" s="136"/>
      <c r="I171" s="136"/>
      <c r="J171" s="136"/>
      <c r="K171" s="136"/>
      <c r="L171" s="136"/>
      <c r="M171" s="136"/>
      <c r="N171" s="137">
        <f t="shared" si="2"/>
        <v>105</v>
      </c>
      <c r="O171" s="137"/>
      <c r="P171" s="137"/>
      <c r="Q171" s="137"/>
      <c r="R171" s="137"/>
      <c r="S171" s="137"/>
      <c r="T171" s="137"/>
      <c r="U171" s="137"/>
      <c r="V171" s="137"/>
      <c r="W171" s="137"/>
      <c r="X171" s="137"/>
      <c r="Y171" s="137"/>
      <c r="Z171" s="137"/>
    </row>
    <row r="172" spans="1:26" ht="13.5" hidden="1">
      <c r="A172" s="134">
        <v>9</v>
      </c>
      <c r="B172" s="135" t="s">
        <v>404</v>
      </c>
      <c r="C172" s="136"/>
      <c r="D172" s="136"/>
      <c r="E172" s="136"/>
      <c r="F172" s="136"/>
      <c r="G172" s="136"/>
      <c r="H172" s="136"/>
      <c r="I172" s="136"/>
      <c r="J172" s="136"/>
      <c r="K172" s="136"/>
      <c r="L172" s="136"/>
      <c r="M172" s="136"/>
      <c r="N172" s="137">
        <f t="shared" si="2"/>
        <v>157.5</v>
      </c>
      <c r="O172" s="137"/>
      <c r="P172" s="137"/>
      <c r="Q172" s="137"/>
      <c r="R172" s="137"/>
      <c r="S172" s="137"/>
      <c r="T172" s="137"/>
      <c r="U172" s="137"/>
      <c r="V172" s="137"/>
      <c r="W172" s="137"/>
      <c r="X172" s="137"/>
      <c r="Y172" s="137"/>
      <c r="Z172" s="137"/>
    </row>
    <row r="173" spans="1:26" ht="13.5" hidden="1">
      <c r="A173" s="134">
        <v>9</v>
      </c>
      <c r="B173" s="135" t="s">
        <v>405</v>
      </c>
      <c r="C173" s="136"/>
      <c r="D173" s="136"/>
      <c r="E173" s="136"/>
      <c r="F173" s="136"/>
      <c r="G173" s="136"/>
      <c r="H173" s="136"/>
      <c r="I173" s="136"/>
      <c r="J173" s="136"/>
      <c r="K173" s="136"/>
      <c r="L173" s="136"/>
      <c r="M173" s="136"/>
      <c r="N173" s="137">
        <f t="shared" si="2"/>
        <v>200</v>
      </c>
      <c r="O173" s="137"/>
      <c r="P173" s="137"/>
      <c r="Q173" s="137"/>
      <c r="R173" s="137"/>
      <c r="S173" s="137"/>
      <c r="T173" s="137"/>
      <c r="U173" s="137"/>
      <c r="V173" s="137"/>
      <c r="W173" s="137"/>
      <c r="X173" s="137"/>
      <c r="Y173" s="137"/>
      <c r="Z173" s="137"/>
    </row>
    <row r="174" spans="1:26" ht="13.5" hidden="1">
      <c r="A174" s="134">
        <v>9</v>
      </c>
      <c r="B174" s="135" t="s">
        <v>406</v>
      </c>
      <c r="C174" s="136"/>
      <c r="D174" s="136"/>
      <c r="E174" s="136"/>
      <c r="F174" s="136"/>
      <c r="G174" s="136"/>
      <c r="H174" s="136"/>
      <c r="I174" s="136"/>
      <c r="J174" s="136"/>
      <c r="K174" s="136"/>
      <c r="L174" s="136"/>
      <c r="M174" s="136"/>
      <c r="N174" s="137">
        <f t="shared" si="2"/>
        <v>235</v>
      </c>
      <c r="O174" s="137"/>
      <c r="P174" s="137"/>
      <c r="Q174" s="137"/>
      <c r="R174" s="137"/>
      <c r="S174" s="137"/>
      <c r="T174" s="137"/>
      <c r="U174" s="137"/>
      <c r="V174" s="137"/>
      <c r="W174" s="137"/>
      <c r="X174" s="137"/>
      <c r="Y174" s="137"/>
      <c r="Z174" s="137"/>
    </row>
    <row r="175" spans="1:26" ht="13.5" hidden="1">
      <c r="A175" s="134">
        <v>9</v>
      </c>
      <c r="B175" s="135" t="s">
        <v>482</v>
      </c>
      <c r="C175" s="136"/>
      <c r="D175" s="136"/>
      <c r="E175" s="136"/>
      <c r="F175" s="136"/>
      <c r="G175" s="136"/>
      <c r="H175" s="136"/>
      <c r="I175" s="136"/>
      <c r="J175" s="136"/>
      <c r="K175" s="136"/>
      <c r="L175" s="136"/>
      <c r="M175" s="136"/>
      <c r="N175" s="137">
        <f t="shared" si="2"/>
        <v>300</v>
      </c>
      <c r="O175" s="137"/>
      <c r="P175" s="137"/>
      <c r="Q175" s="137"/>
      <c r="R175" s="137"/>
      <c r="S175" s="137"/>
      <c r="T175" s="137"/>
      <c r="U175" s="137"/>
      <c r="V175" s="137"/>
      <c r="W175" s="137"/>
      <c r="X175" s="137"/>
      <c r="Y175" s="137"/>
      <c r="Z175" s="137"/>
    </row>
    <row r="176" spans="1:26" ht="13.5" hidden="1">
      <c r="A176" s="134">
        <v>9</v>
      </c>
      <c r="B176" s="135" t="s">
        <v>483</v>
      </c>
      <c r="C176" s="136"/>
      <c r="D176" s="136"/>
      <c r="E176" s="136"/>
      <c r="F176" s="136"/>
      <c r="G176" s="136"/>
      <c r="H176" s="136"/>
      <c r="I176" s="136"/>
      <c r="J176" s="136"/>
      <c r="K176" s="136"/>
      <c r="L176" s="136"/>
      <c r="M176" s="136"/>
      <c r="N176" s="137">
        <f t="shared" si="2"/>
        <v>350</v>
      </c>
      <c r="O176" s="137"/>
      <c r="P176" s="137"/>
      <c r="Q176" s="137"/>
      <c r="R176" s="137"/>
      <c r="S176" s="137"/>
      <c r="T176" s="137"/>
      <c r="U176" s="137"/>
      <c r="V176" s="137"/>
      <c r="W176" s="137"/>
      <c r="X176" s="137"/>
      <c r="Y176" s="137"/>
      <c r="Z176" s="137"/>
    </row>
    <row r="177" spans="1:26" ht="13.5" hidden="1">
      <c r="A177" s="134">
        <v>9</v>
      </c>
      <c r="B177" s="135" t="s">
        <v>484</v>
      </c>
      <c r="C177" s="136"/>
      <c r="D177" s="136"/>
      <c r="E177" s="136"/>
      <c r="F177" s="136"/>
      <c r="G177" s="136"/>
      <c r="H177" s="136"/>
      <c r="I177" s="136"/>
      <c r="J177" s="136"/>
      <c r="K177" s="136"/>
      <c r="L177" s="136"/>
      <c r="M177" s="136"/>
      <c r="N177" s="137">
        <f t="shared" si="2"/>
        <v>425</v>
      </c>
      <c r="O177" s="137"/>
      <c r="P177" s="137"/>
      <c r="Q177" s="137"/>
      <c r="R177" s="137"/>
      <c r="S177" s="137"/>
      <c r="T177" s="137"/>
      <c r="U177" s="137"/>
      <c r="V177" s="137"/>
      <c r="W177" s="137"/>
      <c r="X177" s="137"/>
      <c r="Y177" s="137"/>
      <c r="Z177" s="137"/>
    </row>
    <row r="178" spans="1:26" ht="13.5" hidden="1">
      <c r="A178" s="134">
        <v>10</v>
      </c>
      <c r="B178" s="135" t="s">
        <v>30</v>
      </c>
      <c r="C178" s="342">
        <v>5.45</v>
      </c>
      <c r="D178" s="342">
        <v>9.2899999999999991</v>
      </c>
      <c r="E178" s="342">
        <v>18.989999999999998</v>
      </c>
      <c r="F178" s="342">
        <v>38.76</v>
      </c>
      <c r="G178" s="342">
        <v>55.79</v>
      </c>
      <c r="H178" s="342">
        <v>72.87</v>
      </c>
      <c r="I178" s="342"/>
      <c r="J178" s="342"/>
      <c r="K178" s="342"/>
      <c r="L178" s="342"/>
      <c r="M178" s="342"/>
      <c r="N178" s="137">
        <f t="shared" si="2"/>
        <v>37.5</v>
      </c>
      <c r="O178" s="137"/>
      <c r="P178" s="343">
        <v>3.78</v>
      </c>
      <c r="Q178" s="343">
        <v>6.45</v>
      </c>
      <c r="R178" s="343">
        <v>13.19</v>
      </c>
      <c r="S178" s="343">
        <v>26.92</v>
      </c>
      <c r="T178" s="343">
        <v>38.74</v>
      </c>
      <c r="U178" s="343">
        <v>50.6</v>
      </c>
      <c r="V178" s="343"/>
      <c r="W178" s="343"/>
      <c r="X178" s="343"/>
      <c r="Y178" s="343"/>
      <c r="Z178" s="343"/>
    </row>
    <row r="179" spans="1:26" ht="13.5" hidden="1">
      <c r="A179" s="134">
        <v>10</v>
      </c>
      <c r="B179" s="135" t="s">
        <v>31</v>
      </c>
      <c r="C179" s="342">
        <v>10.56</v>
      </c>
      <c r="D179" s="342">
        <v>18.79</v>
      </c>
      <c r="E179" s="342">
        <v>36.83</v>
      </c>
      <c r="F179" s="342">
        <v>75.17</v>
      </c>
      <c r="G179" s="342">
        <v>112.81</v>
      </c>
      <c r="H179" s="342">
        <v>147.35</v>
      </c>
      <c r="I179" s="342">
        <v>271.39</v>
      </c>
      <c r="J179" s="342">
        <v>406.39</v>
      </c>
      <c r="K179" s="342">
        <v>745.97</v>
      </c>
      <c r="L179" s="342">
        <v>1455.5</v>
      </c>
      <c r="M179" s="342">
        <v>2357.67</v>
      </c>
      <c r="N179" s="137">
        <f t="shared" si="2"/>
        <v>50</v>
      </c>
      <c r="O179" s="137"/>
      <c r="P179" s="343">
        <v>7.33</v>
      </c>
      <c r="Q179" s="343">
        <v>13.04</v>
      </c>
      <c r="R179" s="343">
        <v>25.57</v>
      </c>
      <c r="S179" s="343">
        <v>52.2</v>
      </c>
      <c r="T179" s="343">
        <v>78.34</v>
      </c>
      <c r="U179" s="343">
        <v>102.32</v>
      </c>
      <c r="V179" s="343">
        <v>188.46</v>
      </c>
      <c r="W179" s="343">
        <v>282.20999999999998</v>
      </c>
      <c r="X179" s="343">
        <v>518.04</v>
      </c>
      <c r="Y179" s="343">
        <v>1010.76</v>
      </c>
      <c r="Z179" s="343">
        <v>1637.27</v>
      </c>
    </row>
    <row r="180" spans="1:26" ht="13.5" hidden="1">
      <c r="A180" s="134">
        <v>10</v>
      </c>
      <c r="B180" s="135" t="s">
        <v>32</v>
      </c>
      <c r="C180" s="342">
        <v>20.62</v>
      </c>
      <c r="D180" s="342">
        <v>36.68</v>
      </c>
      <c r="E180" s="342">
        <v>71.92</v>
      </c>
      <c r="F180" s="342">
        <v>146.81</v>
      </c>
      <c r="G180" s="342">
        <v>220.32</v>
      </c>
      <c r="H180" s="342">
        <v>287.77</v>
      </c>
      <c r="I180" s="342">
        <v>530.04999999999995</v>
      </c>
      <c r="J180" s="342">
        <v>793.72</v>
      </c>
      <c r="K180" s="342">
        <v>1456.97</v>
      </c>
      <c r="L180" s="342">
        <v>2842.75</v>
      </c>
      <c r="M180" s="342">
        <v>4604.8100000000004</v>
      </c>
      <c r="N180" s="137">
        <f t="shared" si="2"/>
        <v>75</v>
      </c>
      <c r="O180" s="137"/>
      <c r="P180" s="343">
        <v>14.31</v>
      </c>
      <c r="Q180" s="343">
        <v>25.46</v>
      </c>
      <c r="R180" s="343">
        <v>49.93</v>
      </c>
      <c r="S180" s="343">
        <v>101.94</v>
      </c>
      <c r="T180" s="343">
        <v>152.99</v>
      </c>
      <c r="U180" s="343">
        <v>199.83</v>
      </c>
      <c r="V180" s="343">
        <v>368.08</v>
      </c>
      <c r="W180" s="343">
        <v>551.17999999999995</v>
      </c>
      <c r="X180" s="343">
        <v>1011.77</v>
      </c>
      <c r="Y180" s="343">
        <v>1974.13</v>
      </c>
      <c r="Z180" s="343">
        <v>3197.78</v>
      </c>
    </row>
    <row r="181" spans="1:26" ht="13.5" hidden="1">
      <c r="A181" s="134">
        <v>10</v>
      </c>
      <c r="B181" s="135" t="s">
        <v>33</v>
      </c>
      <c r="C181" s="342">
        <v>45.65</v>
      </c>
      <c r="D181" s="342">
        <v>81.92</v>
      </c>
      <c r="E181" s="342">
        <v>160.58000000000001</v>
      </c>
      <c r="F181" s="342">
        <v>327.73</v>
      </c>
      <c r="G181" s="342">
        <v>464.93</v>
      </c>
      <c r="H181" s="342">
        <v>616.98</v>
      </c>
      <c r="I181" s="342">
        <v>1183.1400000000001</v>
      </c>
      <c r="J181" s="342">
        <v>1771.64</v>
      </c>
      <c r="K181" s="342">
        <v>3252.02</v>
      </c>
      <c r="L181" s="342">
        <v>6345.09</v>
      </c>
      <c r="M181" s="342">
        <v>10278</v>
      </c>
      <c r="N181" s="137">
        <f t="shared" si="2"/>
        <v>100</v>
      </c>
      <c r="O181" s="137"/>
      <c r="P181" s="343">
        <v>31.7</v>
      </c>
      <c r="Q181" s="343">
        <v>56.89</v>
      </c>
      <c r="R181" s="343">
        <v>111.51</v>
      </c>
      <c r="S181" s="343">
        <v>227.59</v>
      </c>
      <c r="T181" s="343">
        <v>322.87</v>
      </c>
      <c r="U181" s="343">
        <v>428.45</v>
      </c>
      <c r="V181" s="343">
        <v>821.62</v>
      </c>
      <c r="W181" s="343">
        <v>1230.3</v>
      </c>
      <c r="X181" s="343">
        <v>2258.34</v>
      </c>
      <c r="Y181" s="343">
        <v>4406.3100000000004</v>
      </c>
      <c r="Z181" s="343">
        <v>7137.5</v>
      </c>
    </row>
    <row r="182" spans="1:26" ht="13.5" hidden="1">
      <c r="A182" s="134">
        <v>10</v>
      </c>
      <c r="B182" s="135" t="s">
        <v>34</v>
      </c>
      <c r="C182" s="342">
        <v>88.28</v>
      </c>
      <c r="D182" s="342">
        <v>191.36</v>
      </c>
      <c r="E182" s="342">
        <v>333.26</v>
      </c>
      <c r="F182" s="342">
        <v>772.61</v>
      </c>
      <c r="G182" s="342">
        <v>1066.78</v>
      </c>
      <c r="H182" s="342">
        <v>1374.13</v>
      </c>
      <c r="I182" s="342">
        <v>3376.97</v>
      </c>
      <c r="J182" s="342">
        <v>5057.05</v>
      </c>
      <c r="K182" s="342">
        <v>9283.2800000000007</v>
      </c>
      <c r="L182" s="342">
        <v>18113.5</v>
      </c>
      <c r="M182" s="342">
        <v>29341.33</v>
      </c>
      <c r="N182" s="137">
        <f t="shared" si="2"/>
        <v>150</v>
      </c>
      <c r="O182" s="137"/>
      <c r="P182" s="343">
        <v>50.77</v>
      </c>
      <c r="Q182" s="343">
        <v>118.35</v>
      </c>
      <c r="R182" s="343">
        <v>231.21</v>
      </c>
      <c r="S182" s="343">
        <v>536.30999999999995</v>
      </c>
      <c r="T182" s="343">
        <v>740.59</v>
      </c>
      <c r="U182" s="343">
        <v>954.03</v>
      </c>
      <c r="V182" s="343">
        <v>2344.89</v>
      </c>
      <c r="W182" s="343">
        <v>3511.61</v>
      </c>
      <c r="X182" s="343">
        <v>6446.49</v>
      </c>
      <c r="Y182" s="343">
        <v>12578.59</v>
      </c>
      <c r="Z182" s="343">
        <v>20375.7</v>
      </c>
    </row>
    <row r="183" spans="1:26" ht="13.5" hidden="1">
      <c r="A183" s="134">
        <v>10</v>
      </c>
      <c r="B183" s="135" t="s">
        <v>35</v>
      </c>
      <c r="C183" s="136"/>
      <c r="D183" s="136"/>
      <c r="E183" s="136"/>
      <c r="F183" s="136"/>
      <c r="G183" s="136"/>
      <c r="H183" s="136"/>
      <c r="I183" s="136"/>
      <c r="J183" s="136"/>
      <c r="K183" s="136"/>
      <c r="L183" s="136"/>
      <c r="M183" s="136"/>
      <c r="N183" s="137">
        <f t="shared" si="2"/>
        <v>225</v>
      </c>
      <c r="O183" s="137"/>
      <c r="P183" s="137"/>
      <c r="Q183" s="137"/>
      <c r="R183" s="137"/>
      <c r="S183" s="137"/>
      <c r="T183" s="137"/>
      <c r="U183" s="137"/>
      <c r="V183" s="137"/>
      <c r="W183" s="137"/>
      <c r="X183" s="137"/>
      <c r="Y183" s="137"/>
      <c r="Z183" s="137"/>
    </row>
    <row r="184" spans="1:26" ht="13.5" hidden="1">
      <c r="A184" s="134">
        <v>10</v>
      </c>
      <c r="B184" s="135" t="s">
        <v>214</v>
      </c>
      <c r="C184" s="342">
        <v>6.27</v>
      </c>
      <c r="D184" s="342">
        <v>9.2899999999999991</v>
      </c>
      <c r="E184" s="342">
        <v>22.73</v>
      </c>
      <c r="F184" s="342">
        <v>39.659999999999997</v>
      </c>
      <c r="G184" s="342">
        <v>55.79</v>
      </c>
      <c r="H184" s="342">
        <v>72.87</v>
      </c>
      <c r="I184" s="342"/>
      <c r="J184" s="342"/>
      <c r="K184" s="342"/>
      <c r="L184" s="342"/>
      <c r="M184" s="342"/>
      <c r="N184" s="137">
        <f t="shared" si="2"/>
        <v>40</v>
      </c>
      <c r="O184" s="137"/>
      <c r="P184" s="343">
        <v>4.3499999999999996</v>
      </c>
      <c r="Q184" s="343">
        <v>6.45</v>
      </c>
      <c r="R184" s="343">
        <v>15.79</v>
      </c>
      <c r="S184" s="343">
        <v>27.54</v>
      </c>
      <c r="T184" s="343">
        <v>38.74</v>
      </c>
      <c r="U184" s="343">
        <v>50.6</v>
      </c>
      <c r="V184" s="343"/>
      <c r="W184" s="343"/>
      <c r="X184" s="343"/>
      <c r="Y184" s="343"/>
      <c r="Z184" s="343"/>
    </row>
    <row r="185" spans="1:26" ht="13.5" hidden="1">
      <c r="A185" s="134">
        <v>10</v>
      </c>
      <c r="B185" s="135" t="s">
        <v>215</v>
      </c>
      <c r="C185" s="342">
        <v>14.63</v>
      </c>
      <c r="D185" s="342">
        <v>22.92</v>
      </c>
      <c r="E185" s="342">
        <v>52.21</v>
      </c>
      <c r="F185" s="342">
        <v>99.14</v>
      </c>
      <c r="G185" s="342">
        <v>141.33000000000001</v>
      </c>
      <c r="H185" s="342">
        <v>174.88</v>
      </c>
      <c r="I185" s="342">
        <v>392.25</v>
      </c>
      <c r="J185" s="342">
        <v>587.36</v>
      </c>
      <c r="K185" s="342">
        <v>1078.17</v>
      </c>
      <c r="L185" s="342">
        <v>2103.65</v>
      </c>
      <c r="M185" s="342">
        <v>3407.57</v>
      </c>
      <c r="N185" s="137">
        <f t="shared" si="2"/>
        <v>55</v>
      </c>
      <c r="O185" s="137"/>
      <c r="P185" s="343">
        <v>10.15</v>
      </c>
      <c r="Q185" s="343">
        <v>15.91</v>
      </c>
      <c r="R185" s="343">
        <v>36.26</v>
      </c>
      <c r="S185" s="343">
        <v>68.84</v>
      </c>
      <c r="T185" s="343">
        <v>98.14</v>
      </c>
      <c r="U185" s="343">
        <v>121.44</v>
      </c>
      <c r="V185" s="343">
        <v>272.39</v>
      </c>
      <c r="W185" s="343">
        <v>407.89</v>
      </c>
      <c r="X185" s="343">
        <v>748.72</v>
      </c>
      <c r="Y185" s="343">
        <v>1460.86</v>
      </c>
      <c r="Z185" s="343">
        <v>2366.37</v>
      </c>
    </row>
    <row r="186" spans="1:26" ht="13.5" hidden="1">
      <c r="A186" s="134">
        <v>10</v>
      </c>
      <c r="B186" s="135" t="s">
        <v>216</v>
      </c>
      <c r="C186" s="342">
        <v>26.45</v>
      </c>
      <c r="D186" s="342">
        <v>45.82</v>
      </c>
      <c r="E186" s="342">
        <v>94.07</v>
      </c>
      <c r="F186" s="342">
        <v>192.03</v>
      </c>
      <c r="G186" s="342">
        <v>267.77</v>
      </c>
      <c r="H186" s="342">
        <v>335.18</v>
      </c>
      <c r="I186" s="342">
        <v>693.31</v>
      </c>
      <c r="J186" s="342">
        <v>1038.19</v>
      </c>
      <c r="K186" s="342">
        <v>1905.72</v>
      </c>
      <c r="L186" s="342">
        <v>3718.33</v>
      </c>
      <c r="M186" s="342">
        <v>6023.1</v>
      </c>
      <c r="N186" s="137">
        <f t="shared" si="2"/>
        <v>80</v>
      </c>
      <c r="O186" s="137"/>
      <c r="P186" s="343">
        <v>17.309999999999999</v>
      </c>
      <c r="Q186" s="343">
        <v>31.81</v>
      </c>
      <c r="R186" s="343">
        <v>65.319999999999993</v>
      </c>
      <c r="S186" s="343">
        <v>133.34</v>
      </c>
      <c r="T186" s="343">
        <v>185.94</v>
      </c>
      <c r="U186" s="343">
        <v>232.75</v>
      </c>
      <c r="V186" s="343">
        <v>481.46</v>
      </c>
      <c r="W186" s="343">
        <v>720.95</v>
      </c>
      <c r="X186" s="343">
        <v>1323.41</v>
      </c>
      <c r="Y186" s="343">
        <v>2582.16</v>
      </c>
      <c r="Z186" s="343">
        <v>4182.7</v>
      </c>
    </row>
    <row r="187" spans="1:26" ht="13.5" hidden="1">
      <c r="A187" s="134">
        <v>10</v>
      </c>
      <c r="B187" s="135" t="s">
        <v>217</v>
      </c>
      <c r="C187" s="342">
        <v>50.44</v>
      </c>
      <c r="D187" s="342">
        <v>93.47</v>
      </c>
      <c r="E187" s="342">
        <v>178.43</v>
      </c>
      <c r="F187" s="342">
        <v>401.44</v>
      </c>
      <c r="G187" s="342">
        <v>617.34</v>
      </c>
      <c r="H187" s="342">
        <v>811.22</v>
      </c>
      <c r="I187" s="342">
        <v>1821.27</v>
      </c>
      <c r="J187" s="342">
        <v>2706.45</v>
      </c>
      <c r="K187" s="342">
        <v>5006.1499999999996</v>
      </c>
      <c r="L187" s="342">
        <v>9767.7099999999991</v>
      </c>
      <c r="M187" s="342">
        <v>15822.14</v>
      </c>
      <c r="N187" s="137">
        <f t="shared" si="2"/>
        <v>105</v>
      </c>
      <c r="O187" s="137"/>
      <c r="P187" s="343">
        <v>34.58</v>
      </c>
      <c r="Q187" s="343">
        <v>64.87</v>
      </c>
      <c r="R187" s="343">
        <v>123.88</v>
      </c>
      <c r="S187" s="343">
        <v>278.75</v>
      </c>
      <c r="T187" s="343">
        <v>428.68</v>
      </c>
      <c r="U187" s="343">
        <v>563.30999999999995</v>
      </c>
      <c r="V187" s="343">
        <v>1264.74</v>
      </c>
      <c r="W187" s="343">
        <v>1879.45</v>
      </c>
      <c r="X187" s="343">
        <v>3476.46</v>
      </c>
      <c r="Y187" s="343">
        <v>6783.1</v>
      </c>
      <c r="Z187" s="343">
        <v>10987.57</v>
      </c>
    </row>
    <row r="188" spans="1:26" ht="13.5" hidden="1">
      <c r="A188" s="134">
        <v>10</v>
      </c>
      <c r="B188" s="135" t="s">
        <v>218</v>
      </c>
      <c r="C188" s="342">
        <v>185.75</v>
      </c>
      <c r="D188" s="342">
        <v>381.6</v>
      </c>
      <c r="E188" s="342">
        <v>691.56</v>
      </c>
      <c r="F188" s="342">
        <v>1558.69</v>
      </c>
      <c r="G188" s="342">
        <v>2160.33</v>
      </c>
      <c r="H188" s="342">
        <v>2258.33</v>
      </c>
      <c r="I188" s="342">
        <v>5628.78</v>
      </c>
      <c r="J188" s="342">
        <v>8428.91</v>
      </c>
      <c r="K188" s="342">
        <v>15472.62</v>
      </c>
      <c r="L188" s="342">
        <v>30189.66</v>
      </c>
      <c r="M188" s="342">
        <v>48902.720000000001</v>
      </c>
      <c r="N188" s="137">
        <f t="shared" si="2"/>
        <v>157.5</v>
      </c>
      <c r="O188" s="137"/>
      <c r="P188" s="343">
        <v>128.77000000000001</v>
      </c>
      <c r="Q188" s="343">
        <v>221.28</v>
      </c>
      <c r="R188" s="343">
        <v>480.03</v>
      </c>
      <c r="S188" s="343">
        <v>1082.2</v>
      </c>
      <c r="T188" s="343">
        <v>1500.01</v>
      </c>
      <c r="U188" s="343">
        <v>1568.06</v>
      </c>
      <c r="V188" s="343">
        <v>3908.65</v>
      </c>
      <c r="W188" s="343">
        <v>5853.19</v>
      </c>
      <c r="X188" s="343">
        <v>10744.65</v>
      </c>
      <c r="Y188" s="343">
        <v>20964.82</v>
      </c>
      <c r="Z188" s="343">
        <v>33959.99</v>
      </c>
    </row>
    <row r="189" spans="1:26" ht="13.5" hidden="1">
      <c r="A189" s="134">
        <v>10</v>
      </c>
      <c r="B189" s="135" t="s">
        <v>219</v>
      </c>
      <c r="C189" s="342">
        <v>290.83</v>
      </c>
      <c r="D189" s="342">
        <v>565.03</v>
      </c>
      <c r="E189" s="342">
        <v>975.75</v>
      </c>
      <c r="F189" s="342">
        <v>2236.2800000000002</v>
      </c>
      <c r="G189" s="342">
        <v>3271.25</v>
      </c>
      <c r="H189" s="342">
        <v>3952.61</v>
      </c>
      <c r="I189" s="342">
        <v>10391.950000000001</v>
      </c>
      <c r="J189" s="342">
        <v>15561.92</v>
      </c>
      <c r="K189" s="342">
        <v>28566.92</v>
      </c>
      <c r="L189" s="342">
        <v>55739.39</v>
      </c>
      <c r="M189" s="342">
        <v>90289.83</v>
      </c>
      <c r="N189" s="137">
        <f t="shared" si="2"/>
        <v>200</v>
      </c>
      <c r="O189" s="137"/>
      <c r="P189" s="343">
        <v>180.15</v>
      </c>
      <c r="Q189" s="343">
        <v>391.78</v>
      </c>
      <c r="R189" s="343">
        <v>677</v>
      </c>
      <c r="S189" s="343">
        <v>1552.37</v>
      </c>
      <c r="T189" s="343">
        <v>2271.1</v>
      </c>
      <c r="U189" s="343">
        <v>2744.27</v>
      </c>
      <c r="V189" s="343">
        <v>7216.03</v>
      </c>
      <c r="W189" s="343">
        <v>10806.29</v>
      </c>
      <c r="X189" s="343">
        <v>19837.54</v>
      </c>
      <c r="Y189" s="343">
        <v>38707.31</v>
      </c>
      <c r="Z189" s="343">
        <v>62700.67</v>
      </c>
    </row>
    <row r="190" spans="1:26" ht="13.5" hidden="1">
      <c r="A190" s="134">
        <v>10</v>
      </c>
      <c r="B190" s="135" t="s">
        <v>220</v>
      </c>
      <c r="C190" s="342">
        <v>438.13</v>
      </c>
      <c r="D190" s="342">
        <v>741.41</v>
      </c>
      <c r="E190" s="342">
        <v>1550.08</v>
      </c>
      <c r="F190" s="342">
        <v>3465.6</v>
      </c>
      <c r="G190" s="342">
        <v>4905.28</v>
      </c>
      <c r="H190" s="342">
        <v>6340.27</v>
      </c>
      <c r="I190" s="342">
        <v>19159.11</v>
      </c>
      <c r="J190" s="342">
        <v>28691.17</v>
      </c>
      <c r="K190" s="342">
        <v>52668.97</v>
      </c>
      <c r="L190" s="342">
        <v>102767.88</v>
      </c>
      <c r="M190" s="342">
        <v>166469.79</v>
      </c>
      <c r="N190" s="137">
        <f t="shared" si="2"/>
        <v>235</v>
      </c>
      <c r="O190" s="137"/>
      <c r="P190" s="343">
        <v>302.86</v>
      </c>
      <c r="Q190" s="343">
        <v>427.14</v>
      </c>
      <c r="R190" s="343">
        <v>1067.19</v>
      </c>
      <c r="S190" s="343">
        <v>2405.2800000000002</v>
      </c>
      <c r="T190" s="343">
        <v>3405.05</v>
      </c>
      <c r="U190" s="343">
        <v>4401.58</v>
      </c>
      <c r="V190" s="343">
        <v>13303.55</v>
      </c>
      <c r="W190" s="343">
        <v>19923.03</v>
      </c>
      <c r="X190" s="343">
        <v>36574.28</v>
      </c>
      <c r="Y190" s="343">
        <v>71365.19</v>
      </c>
      <c r="Z190" s="343">
        <v>115602.63</v>
      </c>
    </row>
    <row r="191" spans="1:26" ht="13.5" hidden="1">
      <c r="A191" s="134">
        <v>10</v>
      </c>
      <c r="B191" s="135" t="s">
        <v>480</v>
      </c>
      <c r="C191" s="136">
        <v>15.63</v>
      </c>
      <c r="D191" s="136">
        <v>29.54</v>
      </c>
      <c r="E191" s="136">
        <v>44.75</v>
      </c>
      <c r="F191" s="136">
        <v>104.68</v>
      </c>
      <c r="G191" s="136">
        <v>125.92</v>
      </c>
      <c r="H191" s="136">
        <v>0</v>
      </c>
      <c r="I191" s="136">
        <v>0</v>
      </c>
      <c r="J191" s="136">
        <v>0</v>
      </c>
      <c r="K191" s="136">
        <v>0</v>
      </c>
      <c r="L191" s="136">
        <v>0</v>
      </c>
      <c r="M191" s="136">
        <v>0</v>
      </c>
      <c r="N191" s="137">
        <f t="shared" si="2"/>
        <v>55</v>
      </c>
      <c r="O191" s="137"/>
      <c r="P191" s="137">
        <v>10.85</v>
      </c>
      <c r="Q191" s="137">
        <v>20.52</v>
      </c>
      <c r="R191" s="137">
        <v>31.08</v>
      </c>
      <c r="S191" s="137">
        <v>72.69</v>
      </c>
      <c r="T191" s="137">
        <v>87.44</v>
      </c>
      <c r="U191" s="137">
        <v>0</v>
      </c>
      <c r="V191" s="137">
        <v>0</v>
      </c>
      <c r="W191" s="137">
        <v>0</v>
      </c>
      <c r="X191" s="137">
        <v>0</v>
      </c>
      <c r="Y191" s="137">
        <v>0</v>
      </c>
      <c r="Z191" s="137">
        <v>0</v>
      </c>
    </row>
    <row r="192" spans="1:26" ht="13.5" hidden="1">
      <c r="A192" s="134">
        <v>10</v>
      </c>
      <c r="B192" s="135" t="s">
        <v>481</v>
      </c>
      <c r="C192" s="136">
        <v>28.92</v>
      </c>
      <c r="D192" s="136">
        <v>43.65</v>
      </c>
      <c r="E192" s="136">
        <v>82.23</v>
      </c>
      <c r="F192" s="136">
        <v>196.41</v>
      </c>
      <c r="G192" s="136">
        <v>272.82</v>
      </c>
      <c r="H192" s="136">
        <v>316.41000000000003</v>
      </c>
      <c r="I192" s="136">
        <v>0</v>
      </c>
      <c r="J192" s="136">
        <v>0</v>
      </c>
      <c r="K192" s="136">
        <v>0</v>
      </c>
      <c r="L192" s="136">
        <v>0</v>
      </c>
      <c r="M192" s="136">
        <v>0</v>
      </c>
      <c r="N192" s="137">
        <f t="shared" si="2"/>
        <v>80</v>
      </c>
      <c r="O192" s="137"/>
      <c r="P192" s="137">
        <v>20.079999999999998</v>
      </c>
      <c r="Q192" s="137">
        <v>30.31</v>
      </c>
      <c r="R192" s="137">
        <v>57.11</v>
      </c>
      <c r="S192" s="137">
        <v>136.4</v>
      </c>
      <c r="T192" s="137">
        <v>189.46</v>
      </c>
      <c r="U192" s="137">
        <v>219.73</v>
      </c>
      <c r="V192" s="137">
        <v>0</v>
      </c>
      <c r="W192" s="137">
        <v>0</v>
      </c>
      <c r="X192" s="137">
        <v>0</v>
      </c>
      <c r="Y192" s="137">
        <v>0</v>
      </c>
      <c r="Z192" s="137">
        <v>0</v>
      </c>
    </row>
    <row r="193" spans="1:26" ht="13.5" hidden="1">
      <c r="A193" s="134">
        <v>10</v>
      </c>
      <c r="B193" s="135" t="s">
        <v>403</v>
      </c>
      <c r="C193" s="136">
        <v>67.849999999999994</v>
      </c>
      <c r="D193" s="136">
        <v>118.02</v>
      </c>
      <c r="E193" s="136">
        <v>234.01</v>
      </c>
      <c r="F193" s="136">
        <v>410.42</v>
      </c>
      <c r="G193" s="136">
        <v>716.67</v>
      </c>
      <c r="H193" s="136">
        <v>975.47</v>
      </c>
      <c r="I193" s="136">
        <v>1556.43</v>
      </c>
      <c r="J193" s="136">
        <v>2866.68</v>
      </c>
      <c r="K193" s="136">
        <v>0</v>
      </c>
      <c r="L193" s="136">
        <v>0</v>
      </c>
      <c r="M193" s="136">
        <v>0</v>
      </c>
      <c r="N193" s="137">
        <f t="shared" si="2"/>
        <v>105</v>
      </c>
      <c r="O193" s="137"/>
      <c r="P193" s="137">
        <v>44.2</v>
      </c>
      <c r="Q193" s="137">
        <v>74.41</v>
      </c>
      <c r="R193" s="137">
        <v>141.38999999999999</v>
      </c>
      <c r="S193" s="137">
        <v>241.51</v>
      </c>
      <c r="T193" s="137">
        <v>497.69</v>
      </c>
      <c r="U193" s="137">
        <v>594.51</v>
      </c>
      <c r="V193" s="137">
        <v>1080.8499999999999</v>
      </c>
      <c r="W193" s="137">
        <v>1990.75</v>
      </c>
      <c r="X193" s="137">
        <v>0</v>
      </c>
      <c r="Y193" s="137">
        <v>0</v>
      </c>
      <c r="Z193" s="137">
        <v>0</v>
      </c>
    </row>
    <row r="194" spans="1:26" ht="13.5" hidden="1">
      <c r="A194" s="134">
        <v>10</v>
      </c>
      <c r="B194" s="135" t="s">
        <v>404</v>
      </c>
      <c r="C194" s="136">
        <v>205.18</v>
      </c>
      <c r="D194" s="136">
        <v>325.88</v>
      </c>
      <c r="E194" s="136">
        <v>667.68</v>
      </c>
      <c r="F194" s="136">
        <v>1339.99</v>
      </c>
      <c r="G194" s="136">
        <v>2064.96</v>
      </c>
      <c r="H194" s="136">
        <v>3014.98</v>
      </c>
      <c r="I194" s="136">
        <v>5359.96</v>
      </c>
      <c r="J194" s="136">
        <v>6783.7</v>
      </c>
      <c r="K194" s="136">
        <v>14352.3</v>
      </c>
      <c r="L194" s="136">
        <v>15632.09</v>
      </c>
      <c r="M194" s="136">
        <v>0</v>
      </c>
      <c r="N194" s="137">
        <f t="shared" si="2"/>
        <v>157.5</v>
      </c>
      <c r="O194" s="137"/>
      <c r="P194" s="137">
        <v>142.47999999999999</v>
      </c>
      <c r="Q194" s="137">
        <v>226.31</v>
      </c>
      <c r="R194" s="137">
        <v>463.66</v>
      </c>
      <c r="S194" s="137">
        <v>930.55</v>
      </c>
      <c r="T194" s="137">
        <v>1434</v>
      </c>
      <c r="U194" s="137">
        <v>2093.7399999999998</v>
      </c>
      <c r="V194" s="137">
        <v>3722.2</v>
      </c>
      <c r="W194" s="137">
        <v>4710.91</v>
      </c>
      <c r="X194" s="137">
        <v>9966.8700000000008</v>
      </c>
      <c r="Y194" s="137">
        <v>9035.89</v>
      </c>
      <c r="Z194" s="137">
        <v>0</v>
      </c>
    </row>
    <row r="195" spans="1:26" ht="13.5" hidden="1">
      <c r="A195" s="134">
        <v>10</v>
      </c>
      <c r="B195" s="135" t="s">
        <v>405</v>
      </c>
      <c r="C195" s="136">
        <v>226.16</v>
      </c>
      <c r="D195" s="136">
        <v>673.47</v>
      </c>
      <c r="E195" s="136">
        <v>1391.66</v>
      </c>
      <c r="F195" s="136">
        <v>2617.46</v>
      </c>
      <c r="G195" s="136">
        <v>3336.51</v>
      </c>
      <c r="H195" s="136">
        <v>5566.64</v>
      </c>
      <c r="I195" s="136">
        <v>8881.9500000000007</v>
      </c>
      <c r="J195" s="136">
        <v>16359.11</v>
      </c>
      <c r="K195" s="136">
        <v>26499.05</v>
      </c>
      <c r="L195" s="136">
        <v>30044.400000000001</v>
      </c>
      <c r="M195" s="136">
        <v>0</v>
      </c>
      <c r="N195" s="137">
        <f t="shared" si="2"/>
        <v>200</v>
      </c>
      <c r="O195" s="137"/>
      <c r="P195" s="137">
        <v>130.75</v>
      </c>
      <c r="Q195" s="137">
        <v>467.69</v>
      </c>
      <c r="R195" s="137">
        <v>966.43</v>
      </c>
      <c r="S195" s="137">
        <v>1817.68</v>
      </c>
      <c r="T195" s="137">
        <v>2317.02</v>
      </c>
      <c r="U195" s="137">
        <v>3865.72</v>
      </c>
      <c r="V195" s="137">
        <v>6168.02</v>
      </c>
      <c r="W195" s="137">
        <v>11360.49</v>
      </c>
      <c r="X195" s="137">
        <v>18402.12</v>
      </c>
      <c r="Y195" s="137">
        <v>17370.63</v>
      </c>
      <c r="Z195" s="137">
        <v>0</v>
      </c>
    </row>
    <row r="196" spans="1:26" ht="13.5" hidden="1">
      <c r="A196" s="134">
        <v>10</v>
      </c>
      <c r="B196" s="135" t="s">
        <v>406</v>
      </c>
      <c r="C196" s="136">
        <v>388.54</v>
      </c>
      <c r="D196" s="136">
        <v>1140.3800000000001</v>
      </c>
      <c r="E196" s="136">
        <v>2364.69</v>
      </c>
      <c r="F196" s="136">
        <v>5773.17</v>
      </c>
      <c r="G196" s="136">
        <v>7540.47</v>
      </c>
      <c r="H196" s="136">
        <v>9458.77</v>
      </c>
      <c r="I196" s="136">
        <v>18246.080000000002</v>
      </c>
      <c r="J196" s="136">
        <v>30161.89</v>
      </c>
      <c r="K196" s="136">
        <v>48857.279999999999</v>
      </c>
      <c r="L196" s="136">
        <v>92370.8</v>
      </c>
      <c r="M196" s="136">
        <v>0</v>
      </c>
      <c r="N196" s="137">
        <f t="shared" si="2"/>
        <v>235</v>
      </c>
      <c r="O196" s="137"/>
      <c r="P196" s="137">
        <v>224.96</v>
      </c>
      <c r="Q196" s="137">
        <v>791.93</v>
      </c>
      <c r="R196" s="137">
        <v>1642.15</v>
      </c>
      <c r="S196" s="137">
        <v>4009.15</v>
      </c>
      <c r="T196" s="137">
        <v>5236.4399999999996</v>
      </c>
      <c r="U196" s="137">
        <v>6568.59</v>
      </c>
      <c r="V196" s="137">
        <v>12670.89</v>
      </c>
      <c r="W196" s="137">
        <v>20945.759999999998</v>
      </c>
      <c r="X196" s="137">
        <v>33928.67</v>
      </c>
      <c r="Y196" s="137">
        <v>64146.39</v>
      </c>
      <c r="Z196" s="137">
        <v>0</v>
      </c>
    </row>
    <row r="197" spans="1:26" ht="13.5" hidden="1">
      <c r="A197" s="134">
        <v>10</v>
      </c>
      <c r="B197" s="135" t="s">
        <v>482</v>
      </c>
      <c r="C197" s="136">
        <v>1040.22</v>
      </c>
      <c r="D197" s="136">
        <v>1372.46</v>
      </c>
      <c r="E197" s="136">
        <v>3006.23</v>
      </c>
      <c r="F197" s="136">
        <v>6901.36</v>
      </c>
      <c r="G197" s="136">
        <v>8936.48</v>
      </c>
      <c r="H197" s="136">
        <v>12024.92</v>
      </c>
      <c r="I197" s="136">
        <v>23196.23</v>
      </c>
      <c r="J197" s="136">
        <v>38344.78</v>
      </c>
      <c r="K197" s="136">
        <v>62112.21</v>
      </c>
      <c r="L197" s="136">
        <v>117430.9</v>
      </c>
      <c r="M197" s="136">
        <v>0</v>
      </c>
      <c r="N197" s="137">
        <f t="shared" si="2"/>
        <v>300</v>
      </c>
      <c r="O197" s="137"/>
      <c r="P197" s="137">
        <v>722.37</v>
      </c>
      <c r="Q197" s="137">
        <v>953.1</v>
      </c>
      <c r="R197" s="137">
        <v>2087.66</v>
      </c>
      <c r="S197" s="137">
        <v>4792.6099999999997</v>
      </c>
      <c r="T197" s="137">
        <v>6205.89</v>
      </c>
      <c r="U197" s="137">
        <v>8350.64</v>
      </c>
      <c r="V197" s="137">
        <v>16108.49</v>
      </c>
      <c r="W197" s="137">
        <v>26628.32</v>
      </c>
      <c r="X197" s="137">
        <v>43133.48</v>
      </c>
      <c r="Y197" s="137">
        <v>81549.23</v>
      </c>
      <c r="Z197" s="137">
        <v>0</v>
      </c>
    </row>
    <row r="198" spans="1:26" ht="13.5" hidden="1">
      <c r="A198" s="134">
        <v>10</v>
      </c>
      <c r="B198" s="135" t="s">
        <v>483</v>
      </c>
      <c r="C198" s="136">
        <v>958.95</v>
      </c>
      <c r="D198" s="136">
        <v>2371.2800000000002</v>
      </c>
      <c r="E198" s="136">
        <v>5415.89</v>
      </c>
      <c r="F198" s="136">
        <v>11458.41</v>
      </c>
      <c r="G198" s="136">
        <v>15916.09</v>
      </c>
      <c r="H198" s="136">
        <v>21663.56</v>
      </c>
      <c r="I198" s="136">
        <v>34565.69</v>
      </c>
      <c r="J198" s="136">
        <v>55458.73</v>
      </c>
      <c r="K198" s="136">
        <v>86654.26</v>
      </c>
      <c r="L198" s="136">
        <v>129927.25</v>
      </c>
      <c r="M198" s="136">
        <v>0</v>
      </c>
      <c r="N198" s="137">
        <f t="shared" si="2"/>
        <v>350</v>
      </c>
      <c r="O198" s="137"/>
      <c r="P198" s="137">
        <v>555.11</v>
      </c>
      <c r="Q198" s="137">
        <v>1372.07</v>
      </c>
      <c r="R198" s="137">
        <v>3761.04</v>
      </c>
      <c r="S198" s="137">
        <v>7957.23</v>
      </c>
      <c r="T198" s="137">
        <v>11052.84</v>
      </c>
      <c r="U198" s="137">
        <v>15044.14</v>
      </c>
      <c r="V198" s="137">
        <v>24003.95</v>
      </c>
      <c r="W198" s="137">
        <v>38513</v>
      </c>
      <c r="X198" s="137">
        <v>60176.57</v>
      </c>
      <c r="Y198" s="137">
        <v>90227.26</v>
      </c>
      <c r="Z198" s="137">
        <v>0</v>
      </c>
    </row>
    <row r="199" spans="1:26" ht="13.5" hidden="1">
      <c r="A199" s="134">
        <v>10</v>
      </c>
      <c r="B199" s="135" t="s">
        <v>484</v>
      </c>
      <c r="C199" s="136">
        <v>1229.5999999999999</v>
      </c>
      <c r="D199" s="136">
        <v>3897.25</v>
      </c>
      <c r="E199" s="136">
        <v>6526.89</v>
      </c>
      <c r="F199" s="136">
        <v>13858.32</v>
      </c>
      <c r="G199" s="136">
        <v>20186.02</v>
      </c>
      <c r="H199" s="136">
        <v>25113.08</v>
      </c>
      <c r="I199" s="136">
        <v>42441.1</v>
      </c>
      <c r="J199" s="136">
        <v>66314.22</v>
      </c>
      <c r="K199" s="136">
        <v>140301.16</v>
      </c>
      <c r="L199" s="136">
        <v>184206.16</v>
      </c>
      <c r="M199" s="136">
        <v>0</v>
      </c>
      <c r="N199" s="137">
        <f t="shared" si="2"/>
        <v>425</v>
      </c>
      <c r="O199" s="137"/>
      <c r="P199" s="137">
        <v>711.57</v>
      </c>
      <c r="Q199" s="137">
        <v>2329.2399999999998</v>
      </c>
      <c r="R199" s="137">
        <v>4532.5600000000004</v>
      </c>
      <c r="S199" s="137">
        <v>9623.83</v>
      </c>
      <c r="T199" s="137">
        <v>14018.07</v>
      </c>
      <c r="U199" s="137">
        <v>17439.64</v>
      </c>
      <c r="V199" s="137">
        <v>29472.99</v>
      </c>
      <c r="W199" s="137">
        <v>46051.54</v>
      </c>
      <c r="X199" s="137">
        <v>97431.360000000001</v>
      </c>
      <c r="Y199" s="137">
        <v>127920.95</v>
      </c>
      <c r="Z199" s="137">
        <v>0</v>
      </c>
    </row>
    <row r="200" spans="1:26" ht="13.5" hidden="1">
      <c r="A200" s="134">
        <v>11</v>
      </c>
      <c r="B200" s="135" t="s">
        <v>30</v>
      </c>
      <c r="C200" s="136"/>
      <c r="D200" s="136"/>
      <c r="E200" s="136"/>
      <c r="F200" s="136"/>
      <c r="G200" s="136"/>
      <c r="H200" s="136"/>
      <c r="I200" s="136"/>
      <c r="J200" s="136"/>
      <c r="K200" s="136"/>
      <c r="L200" s="136"/>
      <c r="M200" s="136"/>
      <c r="N200" s="137">
        <f t="shared" si="2"/>
        <v>37.5</v>
      </c>
      <c r="O200" s="137"/>
      <c r="P200" s="137"/>
      <c r="Q200" s="137"/>
      <c r="R200" s="137"/>
      <c r="S200" s="137"/>
      <c r="T200" s="137"/>
      <c r="U200" s="137"/>
      <c r="V200" s="137"/>
      <c r="W200" s="137"/>
      <c r="X200" s="137"/>
      <c r="Y200" s="137"/>
      <c r="Z200" s="137"/>
    </row>
    <row r="201" spans="1:26" ht="13.5" hidden="1">
      <c r="A201" s="134">
        <v>11</v>
      </c>
      <c r="B201" s="135" t="s">
        <v>31</v>
      </c>
      <c r="C201" s="136"/>
      <c r="D201" s="136"/>
      <c r="E201" s="136"/>
      <c r="F201" s="136"/>
      <c r="G201" s="136"/>
      <c r="H201" s="136"/>
      <c r="I201" s="136"/>
      <c r="J201" s="136"/>
      <c r="K201" s="136"/>
      <c r="L201" s="136"/>
      <c r="M201" s="136"/>
      <c r="N201" s="137">
        <f t="shared" si="2"/>
        <v>50</v>
      </c>
      <c r="O201" s="137"/>
      <c r="P201" s="137"/>
      <c r="Q201" s="137"/>
      <c r="R201" s="137"/>
      <c r="S201" s="137"/>
      <c r="T201" s="137"/>
      <c r="U201" s="137"/>
      <c r="V201" s="137"/>
      <c r="W201" s="137"/>
      <c r="X201" s="137"/>
      <c r="Y201" s="137"/>
      <c r="Z201" s="137"/>
    </row>
    <row r="202" spans="1:26" ht="13.5" hidden="1">
      <c r="A202" s="134">
        <v>11</v>
      </c>
      <c r="B202" s="135" t="s">
        <v>32</v>
      </c>
      <c r="C202" s="136"/>
      <c r="D202" s="136"/>
      <c r="E202" s="136"/>
      <c r="F202" s="136"/>
      <c r="G202" s="136"/>
      <c r="H202" s="136"/>
      <c r="I202" s="136"/>
      <c r="J202" s="136"/>
      <c r="K202" s="136"/>
      <c r="L202" s="136"/>
      <c r="M202" s="136"/>
      <c r="N202" s="137">
        <f t="shared" si="2"/>
        <v>75</v>
      </c>
      <c r="O202" s="137"/>
      <c r="P202" s="137"/>
      <c r="Q202" s="137"/>
      <c r="R202" s="137"/>
      <c r="S202" s="137"/>
      <c r="T202" s="137"/>
      <c r="U202" s="137"/>
      <c r="V202" s="137"/>
      <c r="W202" s="137"/>
      <c r="X202" s="137"/>
      <c r="Y202" s="137"/>
      <c r="Z202" s="137"/>
    </row>
    <row r="203" spans="1:26" ht="13.5" hidden="1">
      <c r="A203" s="134">
        <v>11</v>
      </c>
      <c r="B203" s="135" t="s">
        <v>33</v>
      </c>
      <c r="C203" s="136"/>
      <c r="D203" s="136"/>
      <c r="E203" s="136"/>
      <c r="F203" s="136"/>
      <c r="G203" s="136"/>
      <c r="H203" s="136"/>
      <c r="I203" s="136"/>
      <c r="J203" s="136"/>
      <c r="K203" s="136"/>
      <c r="L203" s="136"/>
      <c r="M203" s="136"/>
      <c r="N203" s="137">
        <f t="shared" si="2"/>
        <v>100</v>
      </c>
      <c r="O203" s="137"/>
      <c r="P203" s="137"/>
      <c r="Q203" s="137"/>
      <c r="R203" s="137"/>
      <c r="S203" s="137"/>
      <c r="T203" s="137"/>
      <c r="U203" s="137"/>
      <c r="V203" s="137"/>
      <c r="W203" s="137"/>
      <c r="X203" s="137"/>
      <c r="Y203" s="137"/>
      <c r="Z203" s="137"/>
    </row>
    <row r="204" spans="1:26" ht="13.5" hidden="1">
      <c r="A204" s="134">
        <v>11</v>
      </c>
      <c r="B204" s="135" t="s">
        <v>34</v>
      </c>
      <c r="C204" s="136"/>
      <c r="D204" s="136"/>
      <c r="E204" s="136"/>
      <c r="F204" s="136"/>
      <c r="G204" s="136"/>
      <c r="H204" s="136"/>
      <c r="I204" s="136"/>
      <c r="J204" s="136"/>
      <c r="K204" s="136"/>
      <c r="L204" s="136"/>
      <c r="M204" s="136"/>
      <c r="N204" s="137">
        <f t="shared" si="2"/>
        <v>150</v>
      </c>
      <c r="O204" s="137"/>
      <c r="P204" s="137"/>
      <c r="Q204" s="137"/>
      <c r="R204" s="137"/>
      <c r="S204" s="137"/>
      <c r="T204" s="137"/>
      <c r="U204" s="137"/>
      <c r="V204" s="137"/>
      <c r="W204" s="137"/>
      <c r="X204" s="137"/>
      <c r="Y204" s="137"/>
      <c r="Z204" s="137"/>
    </row>
    <row r="205" spans="1:26" ht="13.5" hidden="1">
      <c r="A205" s="134">
        <v>11</v>
      </c>
      <c r="B205" s="135" t="s">
        <v>35</v>
      </c>
      <c r="C205" s="136"/>
      <c r="D205" s="136"/>
      <c r="E205" s="136"/>
      <c r="F205" s="136"/>
      <c r="G205" s="136"/>
      <c r="H205" s="136"/>
      <c r="I205" s="136"/>
      <c r="J205" s="136"/>
      <c r="K205" s="136"/>
      <c r="L205" s="136"/>
      <c r="M205" s="136"/>
      <c r="N205" s="137">
        <f t="shared" si="2"/>
        <v>225</v>
      </c>
      <c r="O205" s="137"/>
      <c r="P205" s="137"/>
      <c r="Q205" s="137"/>
      <c r="R205" s="137"/>
      <c r="S205" s="137"/>
      <c r="T205" s="137"/>
      <c r="U205" s="137"/>
      <c r="V205" s="137"/>
      <c r="W205" s="137"/>
      <c r="X205" s="137"/>
      <c r="Y205" s="137"/>
      <c r="Z205" s="137"/>
    </row>
    <row r="206" spans="1:26" ht="13.5" hidden="1">
      <c r="A206" s="134">
        <v>11</v>
      </c>
      <c r="B206" s="135" t="s">
        <v>214</v>
      </c>
      <c r="C206" s="136"/>
      <c r="D206" s="136"/>
      <c r="E206" s="136"/>
      <c r="F206" s="136"/>
      <c r="G206" s="136"/>
      <c r="H206" s="136"/>
      <c r="I206" s="136"/>
      <c r="J206" s="136"/>
      <c r="K206" s="136"/>
      <c r="L206" s="136"/>
      <c r="M206" s="136"/>
      <c r="N206" s="137">
        <f t="shared" si="2"/>
        <v>40</v>
      </c>
      <c r="O206" s="137"/>
      <c r="P206" s="137"/>
      <c r="Q206" s="137"/>
      <c r="R206" s="137"/>
      <c r="S206" s="137"/>
      <c r="T206" s="137"/>
      <c r="U206" s="137"/>
      <c r="V206" s="137"/>
      <c r="W206" s="137"/>
      <c r="X206" s="137"/>
      <c r="Y206" s="137"/>
      <c r="Z206" s="137"/>
    </row>
    <row r="207" spans="1:26" ht="13.5" hidden="1">
      <c r="A207" s="134">
        <v>11</v>
      </c>
      <c r="B207" s="135" t="s">
        <v>215</v>
      </c>
      <c r="C207" s="136"/>
      <c r="D207" s="136"/>
      <c r="E207" s="136"/>
      <c r="F207" s="136"/>
      <c r="G207" s="136"/>
      <c r="H207" s="136"/>
      <c r="I207" s="136"/>
      <c r="J207" s="136"/>
      <c r="K207" s="136"/>
      <c r="L207" s="136"/>
      <c r="M207" s="136"/>
      <c r="N207" s="137">
        <f t="shared" si="2"/>
        <v>55</v>
      </c>
      <c r="O207" s="137"/>
      <c r="P207" s="137"/>
      <c r="Q207" s="137"/>
      <c r="R207" s="137"/>
      <c r="S207" s="137"/>
      <c r="T207" s="137"/>
      <c r="U207" s="137"/>
      <c r="V207" s="137"/>
      <c r="W207" s="137"/>
      <c r="X207" s="137"/>
      <c r="Y207" s="137"/>
      <c r="Z207" s="137"/>
    </row>
    <row r="208" spans="1:26" ht="13.5" hidden="1">
      <c r="A208" s="134">
        <v>11</v>
      </c>
      <c r="B208" s="135" t="s">
        <v>216</v>
      </c>
      <c r="C208" s="136"/>
      <c r="D208" s="136"/>
      <c r="E208" s="136"/>
      <c r="F208" s="136"/>
      <c r="G208" s="136"/>
      <c r="H208" s="136"/>
      <c r="I208" s="136"/>
      <c r="J208" s="136"/>
      <c r="K208" s="136"/>
      <c r="L208" s="136"/>
      <c r="M208" s="136"/>
      <c r="N208" s="137">
        <f t="shared" si="2"/>
        <v>80</v>
      </c>
      <c r="O208" s="137"/>
      <c r="P208" s="137"/>
      <c r="Q208" s="137"/>
      <c r="R208" s="137"/>
      <c r="S208" s="137"/>
      <c r="T208" s="137"/>
      <c r="U208" s="137"/>
      <c r="V208" s="137"/>
      <c r="W208" s="137"/>
      <c r="X208" s="137"/>
      <c r="Y208" s="137"/>
      <c r="Z208" s="137"/>
    </row>
    <row r="209" spans="1:26" ht="13.5" hidden="1">
      <c r="A209" s="134">
        <v>11</v>
      </c>
      <c r="B209" s="135" t="s">
        <v>217</v>
      </c>
      <c r="C209" s="136"/>
      <c r="D209" s="136"/>
      <c r="E209" s="136"/>
      <c r="F209" s="136"/>
      <c r="G209" s="136"/>
      <c r="H209" s="136"/>
      <c r="I209" s="136"/>
      <c r="J209" s="136"/>
      <c r="K209" s="136"/>
      <c r="L209" s="136"/>
      <c r="M209" s="136"/>
      <c r="N209" s="137">
        <f t="shared" si="2"/>
        <v>105</v>
      </c>
      <c r="O209" s="137"/>
      <c r="P209" s="137"/>
      <c r="Q209" s="137"/>
      <c r="R209" s="137"/>
      <c r="S209" s="137"/>
      <c r="T209" s="137"/>
      <c r="U209" s="137"/>
      <c r="V209" s="137"/>
      <c r="W209" s="137"/>
      <c r="X209" s="137"/>
      <c r="Y209" s="137"/>
      <c r="Z209" s="137"/>
    </row>
    <row r="210" spans="1:26" ht="13.5" hidden="1">
      <c r="A210" s="134">
        <v>11</v>
      </c>
      <c r="B210" s="135" t="s">
        <v>218</v>
      </c>
      <c r="C210" s="136"/>
      <c r="D210" s="136"/>
      <c r="E210" s="136"/>
      <c r="F210" s="136"/>
      <c r="G210" s="136"/>
      <c r="H210" s="136"/>
      <c r="I210" s="136"/>
      <c r="J210" s="136"/>
      <c r="K210" s="136"/>
      <c r="L210" s="136"/>
      <c r="M210" s="136"/>
      <c r="N210" s="137">
        <f t="shared" si="2"/>
        <v>157.5</v>
      </c>
      <c r="O210" s="137"/>
      <c r="P210" s="137"/>
      <c r="Q210" s="137"/>
      <c r="R210" s="137"/>
      <c r="S210" s="137"/>
      <c r="T210" s="137"/>
      <c r="U210" s="137"/>
      <c r="V210" s="137"/>
      <c r="W210" s="137"/>
      <c r="X210" s="137"/>
      <c r="Y210" s="137"/>
      <c r="Z210" s="137"/>
    </row>
    <row r="211" spans="1:26" ht="13.5" hidden="1">
      <c r="A211" s="134">
        <v>11</v>
      </c>
      <c r="B211" s="135" t="s">
        <v>219</v>
      </c>
      <c r="C211" s="136"/>
      <c r="D211" s="136"/>
      <c r="E211" s="136"/>
      <c r="F211" s="136"/>
      <c r="G211" s="136"/>
      <c r="H211" s="136"/>
      <c r="I211" s="136"/>
      <c r="J211" s="136"/>
      <c r="K211" s="136"/>
      <c r="L211" s="136"/>
      <c r="M211" s="136"/>
      <c r="N211" s="137">
        <f t="shared" si="2"/>
        <v>200</v>
      </c>
      <c r="O211" s="137"/>
      <c r="P211" s="137"/>
      <c r="Q211" s="137"/>
      <c r="R211" s="137"/>
      <c r="S211" s="137"/>
      <c r="T211" s="137"/>
      <c r="U211" s="137"/>
      <c r="V211" s="137"/>
      <c r="W211" s="137"/>
      <c r="X211" s="137"/>
      <c r="Y211" s="137"/>
      <c r="Z211" s="137"/>
    </row>
    <row r="212" spans="1:26" ht="13.5" hidden="1">
      <c r="A212" s="134">
        <v>11</v>
      </c>
      <c r="B212" s="135" t="s">
        <v>220</v>
      </c>
      <c r="C212" s="136"/>
      <c r="D212" s="136"/>
      <c r="E212" s="136"/>
      <c r="F212" s="136"/>
      <c r="G212" s="136"/>
      <c r="H212" s="136"/>
      <c r="I212" s="136"/>
      <c r="J212" s="136"/>
      <c r="K212" s="136"/>
      <c r="L212" s="136"/>
      <c r="M212" s="136"/>
      <c r="N212" s="137">
        <f t="shared" si="2"/>
        <v>235</v>
      </c>
      <c r="O212" s="137"/>
      <c r="P212" s="137"/>
      <c r="Q212" s="137"/>
      <c r="R212" s="137"/>
      <c r="S212" s="137"/>
      <c r="T212" s="137"/>
      <c r="U212" s="137"/>
      <c r="V212" s="137"/>
      <c r="W212" s="137"/>
      <c r="X212" s="137"/>
      <c r="Y212" s="137"/>
      <c r="Z212" s="137"/>
    </row>
    <row r="213" spans="1:26" ht="13.5" hidden="1">
      <c r="A213" s="134">
        <v>11</v>
      </c>
      <c r="B213" s="135" t="s">
        <v>480</v>
      </c>
      <c r="C213" s="136"/>
      <c r="D213" s="136"/>
      <c r="E213" s="136"/>
      <c r="F213" s="136"/>
      <c r="G213" s="136"/>
      <c r="H213" s="136"/>
      <c r="I213" s="136"/>
      <c r="J213" s="136"/>
      <c r="K213" s="136"/>
      <c r="L213" s="136"/>
      <c r="M213" s="136"/>
      <c r="N213" s="137">
        <f t="shared" si="2"/>
        <v>55</v>
      </c>
      <c r="O213" s="137"/>
      <c r="P213" s="137"/>
      <c r="Q213" s="137"/>
      <c r="R213" s="137"/>
      <c r="S213" s="137"/>
      <c r="T213" s="137"/>
      <c r="U213" s="137"/>
      <c r="V213" s="137"/>
      <c r="W213" s="137"/>
      <c r="X213" s="137"/>
      <c r="Y213" s="137"/>
      <c r="Z213" s="137"/>
    </row>
    <row r="214" spans="1:26" ht="13.5" hidden="1">
      <c r="A214" s="134">
        <v>11</v>
      </c>
      <c r="B214" s="135" t="s">
        <v>481</v>
      </c>
      <c r="C214" s="136"/>
      <c r="D214" s="136"/>
      <c r="E214" s="136"/>
      <c r="F214" s="136"/>
      <c r="G214" s="136"/>
      <c r="H214" s="136"/>
      <c r="I214" s="136"/>
      <c r="J214" s="136"/>
      <c r="K214" s="136"/>
      <c r="L214" s="136"/>
      <c r="M214" s="136"/>
      <c r="N214" s="137">
        <f t="shared" si="2"/>
        <v>80</v>
      </c>
      <c r="O214" s="137"/>
      <c r="P214" s="137"/>
      <c r="Q214" s="137"/>
      <c r="R214" s="137"/>
      <c r="S214" s="137"/>
      <c r="T214" s="137"/>
      <c r="U214" s="137"/>
      <c r="V214" s="137"/>
      <c r="W214" s="137"/>
      <c r="X214" s="137"/>
      <c r="Y214" s="137"/>
      <c r="Z214" s="137"/>
    </row>
    <row r="215" spans="1:26" ht="13.5" hidden="1">
      <c r="A215" s="134">
        <v>11</v>
      </c>
      <c r="B215" s="135" t="s">
        <v>403</v>
      </c>
      <c r="C215" s="136"/>
      <c r="D215" s="136"/>
      <c r="E215" s="136"/>
      <c r="F215" s="136"/>
      <c r="G215" s="136"/>
      <c r="H215" s="136"/>
      <c r="I215" s="136"/>
      <c r="J215" s="136"/>
      <c r="K215" s="136"/>
      <c r="L215" s="136"/>
      <c r="M215" s="136"/>
      <c r="N215" s="137">
        <f t="shared" si="2"/>
        <v>105</v>
      </c>
      <c r="O215" s="137"/>
      <c r="P215" s="137"/>
      <c r="Q215" s="137"/>
      <c r="R215" s="137"/>
      <c r="S215" s="137"/>
      <c r="T215" s="137"/>
      <c r="U215" s="137"/>
      <c r="V215" s="137"/>
      <c r="W215" s="137"/>
      <c r="X215" s="137"/>
      <c r="Y215" s="137"/>
      <c r="Z215" s="137"/>
    </row>
    <row r="216" spans="1:26" ht="13.5" hidden="1">
      <c r="A216" s="134">
        <v>11</v>
      </c>
      <c r="B216" s="135" t="s">
        <v>404</v>
      </c>
      <c r="C216" s="136"/>
      <c r="D216" s="136"/>
      <c r="E216" s="136"/>
      <c r="F216" s="136"/>
      <c r="G216" s="136"/>
      <c r="H216" s="136"/>
      <c r="I216" s="136"/>
      <c r="J216" s="136"/>
      <c r="K216" s="136"/>
      <c r="L216" s="136"/>
      <c r="M216" s="136"/>
      <c r="N216" s="137">
        <f t="shared" si="2"/>
        <v>157.5</v>
      </c>
      <c r="O216" s="137"/>
      <c r="P216" s="137"/>
      <c r="Q216" s="137"/>
      <c r="R216" s="137"/>
      <c r="S216" s="137"/>
      <c r="T216" s="137"/>
      <c r="U216" s="137"/>
      <c r="V216" s="137"/>
      <c r="W216" s="137"/>
      <c r="X216" s="137"/>
      <c r="Y216" s="137"/>
      <c r="Z216" s="137"/>
    </row>
    <row r="217" spans="1:26" ht="13.5" hidden="1">
      <c r="A217" s="134">
        <v>11</v>
      </c>
      <c r="B217" s="135" t="s">
        <v>405</v>
      </c>
      <c r="C217" s="136"/>
      <c r="D217" s="136"/>
      <c r="E217" s="136"/>
      <c r="F217" s="136"/>
      <c r="G217" s="136"/>
      <c r="H217" s="136"/>
      <c r="I217" s="136"/>
      <c r="J217" s="136"/>
      <c r="K217" s="136"/>
      <c r="L217" s="136"/>
      <c r="M217" s="136"/>
      <c r="N217" s="137">
        <f t="shared" ref="N217:N243" si="3">+N195</f>
        <v>200</v>
      </c>
      <c r="O217" s="137"/>
      <c r="P217" s="137"/>
      <c r="Q217" s="137"/>
      <c r="R217" s="137"/>
      <c r="S217" s="137"/>
      <c r="T217" s="137"/>
      <c r="U217" s="137"/>
      <c r="V217" s="137"/>
      <c r="W217" s="137"/>
      <c r="X217" s="137"/>
      <c r="Y217" s="137"/>
      <c r="Z217" s="137"/>
    </row>
    <row r="218" spans="1:26" ht="13.5" hidden="1">
      <c r="A218" s="134">
        <v>11</v>
      </c>
      <c r="B218" s="135" t="s">
        <v>406</v>
      </c>
      <c r="C218" s="136"/>
      <c r="D218" s="136"/>
      <c r="E218" s="136"/>
      <c r="F218" s="136"/>
      <c r="G218" s="136"/>
      <c r="H218" s="136"/>
      <c r="I218" s="136"/>
      <c r="J218" s="136"/>
      <c r="K218" s="136"/>
      <c r="L218" s="136"/>
      <c r="M218" s="136"/>
      <c r="N218" s="137">
        <f t="shared" si="3"/>
        <v>235</v>
      </c>
      <c r="O218" s="137"/>
      <c r="P218" s="137"/>
      <c r="Q218" s="137"/>
      <c r="R218" s="137"/>
      <c r="S218" s="137"/>
      <c r="T218" s="137"/>
      <c r="U218" s="137"/>
      <c r="V218" s="137"/>
      <c r="W218" s="137"/>
      <c r="X218" s="137"/>
      <c r="Y218" s="137"/>
      <c r="Z218" s="137"/>
    </row>
    <row r="219" spans="1:26" ht="13.5" hidden="1">
      <c r="A219" s="134">
        <v>11</v>
      </c>
      <c r="B219" s="135" t="s">
        <v>482</v>
      </c>
      <c r="C219" s="136"/>
      <c r="D219" s="136"/>
      <c r="E219" s="136"/>
      <c r="F219" s="136"/>
      <c r="G219" s="136"/>
      <c r="H219" s="136"/>
      <c r="I219" s="136"/>
      <c r="J219" s="136"/>
      <c r="K219" s="136"/>
      <c r="L219" s="136"/>
      <c r="M219" s="136"/>
      <c r="N219" s="137">
        <f t="shared" si="3"/>
        <v>300</v>
      </c>
      <c r="O219" s="137"/>
      <c r="P219" s="137"/>
      <c r="Q219" s="137"/>
      <c r="R219" s="137"/>
      <c r="S219" s="137"/>
      <c r="T219" s="137"/>
      <c r="U219" s="137"/>
      <c r="V219" s="137"/>
      <c r="W219" s="137"/>
      <c r="X219" s="137"/>
      <c r="Y219" s="137"/>
      <c r="Z219" s="137"/>
    </row>
    <row r="220" spans="1:26" ht="13.5" hidden="1">
      <c r="A220" s="134">
        <v>11</v>
      </c>
      <c r="B220" s="135" t="s">
        <v>483</v>
      </c>
      <c r="C220" s="136"/>
      <c r="D220" s="136"/>
      <c r="E220" s="136"/>
      <c r="F220" s="136"/>
      <c r="G220" s="136"/>
      <c r="H220" s="136"/>
      <c r="I220" s="136"/>
      <c r="J220" s="136"/>
      <c r="K220" s="136"/>
      <c r="L220" s="136"/>
      <c r="M220" s="136"/>
      <c r="N220" s="137">
        <f t="shared" si="3"/>
        <v>350</v>
      </c>
      <c r="O220" s="137"/>
      <c r="P220" s="137"/>
      <c r="Q220" s="137"/>
      <c r="R220" s="137"/>
      <c r="S220" s="137"/>
      <c r="T220" s="137"/>
      <c r="U220" s="137"/>
      <c r="V220" s="137"/>
      <c r="W220" s="137"/>
      <c r="X220" s="137"/>
      <c r="Y220" s="137"/>
      <c r="Z220" s="137"/>
    </row>
    <row r="221" spans="1:26" ht="13.5" hidden="1">
      <c r="A221" s="134">
        <v>11</v>
      </c>
      <c r="B221" s="135" t="s">
        <v>484</v>
      </c>
      <c r="C221" s="136"/>
      <c r="D221" s="136"/>
      <c r="E221" s="136"/>
      <c r="F221" s="136"/>
      <c r="G221" s="136"/>
      <c r="H221" s="136"/>
      <c r="I221" s="136"/>
      <c r="J221" s="136"/>
      <c r="K221" s="136"/>
      <c r="L221" s="136"/>
      <c r="M221" s="136"/>
      <c r="N221" s="137">
        <f t="shared" si="3"/>
        <v>425</v>
      </c>
      <c r="O221" s="137"/>
      <c r="P221" s="137"/>
      <c r="Q221" s="137"/>
      <c r="R221" s="137"/>
      <c r="S221" s="137"/>
      <c r="T221" s="137"/>
      <c r="U221" s="137"/>
      <c r="V221" s="137"/>
      <c r="W221" s="137"/>
      <c r="X221" s="137"/>
      <c r="Y221" s="137"/>
      <c r="Z221" s="137"/>
    </row>
    <row r="222" spans="1:26" ht="13.5" hidden="1">
      <c r="A222" s="134">
        <v>12</v>
      </c>
      <c r="B222" s="135" t="s">
        <v>30</v>
      </c>
      <c r="C222" s="342">
        <v>6.73</v>
      </c>
      <c r="D222" s="342">
        <v>11.98</v>
      </c>
      <c r="E222" s="342">
        <v>23.48</v>
      </c>
      <c r="F222" s="342">
        <v>47.92</v>
      </c>
      <c r="G222" s="342">
        <v>71.92</v>
      </c>
      <c r="H222" s="342">
        <v>93.93</v>
      </c>
      <c r="I222" s="342"/>
      <c r="J222" s="342"/>
      <c r="K222" s="342"/>
      <c r="L222" s="342"/>
      <c r="M222" s="342"/>
      <c r="N222" s="137">
        <f t="shared" si="3"/>
        <v>37.5</v>
      </c>
      <c r="O222" s="137"/>
      <c r="P222" s="343">
        <v>4.68</v>
      </c>
      <c r="Q222" s="343">
        <v>8.32</v>
      </c>
      <c r="R222" s="343">
        <v>16.3</v>
      </c>
      <c r="S222" s="343">
        <v>33.28</v>
      </c>
      <c r="T222" s="343">
        <v>49.94</v>
      </c>
      <c r="U222" s="343">
        <v>65.23</v>
      </c>
      <c r="V222" s="343"/>
      <c r="W222" s="343"/>
      <c r="X222" s="343"/>
      <c r="Y222" s="343"/>
      <c r="Z222" s="343"/>
    </row>
    <row r="223" spans="1:26" ht="13.5" hidden="1">
      <c r="A223" s="134">
        <v>12</v>
      </c>
      <c r="B223" s="135" t="s">
        <v>31</v>
      </c>
      <c r="C223" s="342">
        <v>13.27</v>
      </c>
      <c r="D223" s="342">
        <v>23.6</v>
      </c>
      <c r="E223" s="342">
        <v>46.27</v>
      </c>
      <c r="F223" s="342">
        <v>94.44</v>
      </c>
      <c r="G223" s="342">
        <v>141.72</v>
      </c>
      <c r="H223" s="342">
        <v>185.1</v>
      </c>
      <c r="I223" s="342">
        <v>340.94</v>
      </c>
      <c r="J223" s="342">
        <v>510.53</v>
      </c>
      <c r="K223" s="342">
        <v>937.13</v>
      </c>
      <c r="L223" s="342">
        <v>1828.47</v>
      </c>
      <c r="M223" s="342">
        <v>2961.83</v>
      </c>
      <c r="N223" s="137">
        <f t="shared" si="3"/>
        <v>50</v>
      </c>
      <c r="O223" s="137"/>
      <c r="P223" s="343">
        <v>9.2100000000000009</v>
      </c>
      <c r="Q223" s="343">
        <v>16.39</v>
      </c>
      <c r="R223" s="343">
        <v>32.130000000000003</v>
      </c>
      <c r="S223" s="343">
        <v>65.58</v>
      </c>
      <c r="T223" s="343">
        <v>98.41</v>
      </c>
      <c r="U223" s="343">
        <v>128.54</v>
      </c>
      <c r="V223" s="343">
        <v>236.76</v>
      </c>
      <c r="W223" s="343">
        <v>354.53</v>
      </c>
      <c r="X223" s="343">
        <v>650.78</v>
      </c>
      <c r="Y223" s="343">
        <v>1269.77</v>
      </c>
      <c r="Z223" s="343">
        <v>2056.8200000000002</v>
      </c>
    </row>
    <row r="224" spans="1:26" ht="13.5" hidden="1">
      <c r="A224" s="134">
        <v>12</v>
      </c>
      <c r="B224" s="135" t="s">
        <v>32</v>
      </c>
      <c r="C224" s="342">
        <v>26.43</v>
      </c>
      <c r="D224" s="342">
        <v>47.01</v>
      </c>
      <c r="E224" s="342">
        <v>92.18</v>
      </c>
      <c r="F224" s="342">
        <v>188.16</v>
      </c>
      <c r="G224" s="342">
        <v>282.37</v>
      </c>
      <c r="H224" s="342">
        <v>368.82</v>
      </c>
      <c r="I224" s="342">
        <v>679.33</v>
      </c>
      <c r="J224" s="342">
        <v>1017.24</v>
      </c>
      <c r="K224" s="342">
        <v>1867.26</v>
      </c>
      <c r="L224" s="342">
        <v>3643.28</v>
      </c>
      <c r="M224" s="342">
        <v>5901.54</v>
      </c>
      <c r="N224" s="137">
        <f t="shared" si="3"/>
        <v>75</v>
      </c>
      <c r="O224" s="137"/>
      <c r="P224" s="343">
        <v>18.350000000000001</v>
      </c>
      <c r="Q224" s="343">
        <v>32.64</v>
      </c>
      <c r="R224" s="343">
        <v>64</v>
      </c>
      <c r="S224" s="343">
        <v>130.65</v>
      </c>
      <c r="T224" s="343">
        <v>196.08</v>
      </c>
      <c r="U224" s="343">
        <v>256.11</v>
      </c>
      <c r="V224" s="343">
        <v>471.74</v>
      </c>
      <c r="W224" s="343">
        <v>706.41</v>
      </c>
      <c r="X224" s="343">
        <v>1296.7</v>
      </c>
      <c r="Y224" s="343">
        <v>2530.0500000000002</v>
      </c>
      <c r="Z224" s="343">
        <v>4098.28</v>
      </c>
    </row>
    <row r="225" spans="1:26" ht="13.5" hidden="1">
      <c r="A225" s="134">
        <v>12</v>
      </c>
      <c r="B225" s="135" t="s">
        <v>33</v>
      </c>
      <c r="C225" s="342">
        <v>59.85</v>
      </c>
      <c r="D225" s="342">
        <v>106.42</v>
      </c>
      <c r="E225" s="342">
        <v>208.59</v>
      </c>
      <c r="F225" s="342">
        <v>425.7</v>
      </c>
      <c r="G225" s="342">
        <v>638.82000000000005</v>
      </c>
      <c r="H225" s="342">
        <v>834.39</v>
      </c>
      <c r="I225" s="342">
        <v>1536.81</v>
      </c>
      <c r="J225" s="342">
        <v>2301.23</v>
      </c>
      <c r="K225" s="342">
        <v>4224.13</v>
      </c>
      <c r="L225" s="342">
        <v>8241.7900000000009</v>
      </c>
      <c r="M225" s="342">
        <v>13350.35</v>
      </c>
      <c r="N225" s="137">
        <f t="shared" si="3"/>
        <v>100</v>
      </c>
      <c r="O225" s="137"/>
      <c r="P225" s="343">
        <v>41.56</v>
      </c>
      <c r="Q225" s="343">
        <v>73.900000000000006</v>
      </c>
      <c r="R225" s="343">
        <v>144.85</v>
      </c>
      <c r="S225" s="343">
        <v>295.62</v>
      </c>
      <c r="T225" s="343">
        <v>443.62</v>
      </c>
      <c r="U225" s="343">
        <v>579.42999999999995</v>
      </c>
      <c r="V225" s="343">
        <v>1067.23</v>
      </c>
      <c r="W225" s="343">
        <v>1598.07</v>
      </c>
      <c r="X225" s="343">
        <v>2933.42</v>
      </c>
      <c r="Y225" s="343">
        <v>5723.46</v>
      </c>
      <c r="Z225" s="343">
        <v>9271.07</v>
      </c>
    </row>
    <row r="226" spans="1:26" ht="13.5" hidden="1">
      <c r="A226" s="134">
        <v>12</v>
      </c>
      <c r="B226" s="135" t="s">
        <v>34</v>
      </c>
      <c r="C226" s="342">
        <v>127.44</v>
      </c>
      <c r="D226" s="342">
        <v>275.88</v>
      </c>
      <c r="E226" s="342">
        <v>480.22</v>
      </c>
      <c r="F226" s="342">
        <v>1112.8800000000001</v>
      </c>
      <c r="G226" s="342">
        <v>1536.48</v>
      </c>
      <c r="H226" s="342">
        <v>1979.08</v>
      </c>
      <c r="I226" s="342">
        <v>4098.3100000000004</v>
      </c>
      <c r="J226" s="342">
        <v>6137.19</v>
      </c>
      <c r="K226" s="342">
        <v>11265.96</v>
      </c>
      <c r="L226" s="342">
        <v>21981.96</v>
      </c>
      <c r="M226" s="342">
        <v>35607.599999999999</v>
      </c>
      <c r="N226" s="137">
        <f t="shared" si="3"/>
        <v>150</v>
      </c>
      <c r="O226" s="137"/>
      <c r="P226" s="343">
        <v>73.44</v>
      </c>
      <c r="Q226" s="343">
        <v>170.75</v>
      </c>
      <c r="R226" s="343">
        <v>333.26</v>
      </c>
      <c r="S226" s="343">
        <v>772.61</v>
      </c>
      <c r="T226" s="343">
        <v>1066.78</v>
      </c>
      <c r="U226" s="343">
        <v>1374.13</v>
      </c>
      <c r="V226" s="343">
        <v>2845.82</v>
      </c>
      <c r="W226" s="343">
        <v>4261.71</v>
      </c>
      <c r="X226" s="343">
        <v>7823.36</v>
      </c>
      <c r="Y226" s="343">
        <v>15265.03</v>
      </c>
      <c r="Z226" s="343">
        <v>24727.279999999999</v>
      </c>
    </row>
    <row r="227" spans="1:26" ht="13.5" hidden="1">
      <c r="A227" s="134">
        <v>12</v>
      </c>
      <c r="B227" s="135" t="s">
        <v>35</v>
      </c>
      <c r="C227" s="136"/>
      <c r="D227" s="136"/>
      <c r="E227" s="136"/>
      <c r="F227" s="136"/>
      <c r="G227" s="136"/>
      <c r="H227" s="136"/>
      <c r="I227" s="136"/>
      <c r="J227" s="136"/>
      <c r="K227" s="136"/>
      <c r="L227" s="136"/>
      <c r="M227" s="136"/>
      <c r="N227" s="137">
        <f t="shared" si="3"/>
        <v>225</v>
      </c>
      <c r="O227" s="137"/>
      <c r="P227" s="137"/>
      <c r="Q227" s="137"/>
      <c r="R227" s="137"/>
      <c r="S227" s="137"/>
      <c r="T227" s="137"/>
      <c r="U227" s="137"/>
      <c r="V227" s="137"/>
      <c r="W227" s="137"/>
      <c r="X227" s="137"/>
      <c r="Y227" s="137"/>
      <c r="Z227" s="137"/>
    </row>
    <row r="228" spans="1:26" ht="13.5" hidden="1">
      <c r="A228" s="134">
        <v>12</v>
      </c>
      <c r="B228" s="135" t="s">
        <v>214</v>
      </c>
      <c r="C228" s="342">
        <v>6.64</v>
      </c>
      <c r="D228" s="342">
        <v>11.8</v>
      </c>
      <c r="E228" s="342">
        <v>23.14</v>
      </c>
      <c r="F228" s="342">
        <v>47.22</v>
      </c>
      <c r="G228" s="342">
        <v>70.86</v>
      </c>
      <c r="H228" s="342">
        <v>92.55</v>
      </c>
      <c r="I228" s="342"/>
      <c r="J228" s="342"/>
      <c r="K228" s="342"/>
      <c r="L228" s="342"/>
      <c r="M228" s="342"/>
      <c r="N228" s="137">
        <f t="shared" si="3"/>
        <v>40</v>
      </c>
      <c r="O228" s="137"/>
      <c r="P228" s="343">
        <v>4.6100000000000003</v>
      </c>
      <c r="Q228" s="343">
        <v>8.1999999999999993</v>
      </c>
      <c r="R228" s="343">
        <v>16.07</v>
      </c>
      <c r="S228" s="343">
        <v>32.79</v>
      </c>
      <c r="T228" s="343">
        <v>49.21</v>
      </c>
      <c r="U228" s="343">
        <v>64.27</v>
      </c>
      <c r="V228" s="343"/>
      <c r="W228" s="343"/>
      <c r="X228" s="343"/>
      <c r="Y228" s="343"/>
      <c r="Z228" s="343"/>
    </row>
    <row r="229" spans="1:26" ht="13.5" hidden="1">
      <c r="A229" s="134">
        <v>12</v>
      </c>
      <c r="B229" s="135" t="s">
        <v>215</v>
      </c>
      <c r="C229" s="342">
        <v>13.37</v>
      </c>
      <c r="D229" s="342">
        <v>23.78</v>
      </c>
      <c r="E229" s="342">
        <v>46.61</v>
      </c>
      <c r="F229" s="342">
        <v>95.14</v>
      </c>
      <c r="G229" s="342">
        <v>142.77000000000001</v>
      </c>
      <c r="H229" s="342">
        <v>186.48</v>
      </c>
      <c r="I229" s="342">
        <v>343.48</v>
      </c>
      <c r="J229" s="342">
        <v>514.34</v>
      </c>
      <c r="K229" s="342">
        <v>944.13</v>
      </c>
      <c r="L229" s="342">
        <v>1842.11</v>
      </c>
      <c r="M229" s="342">
        <v>2983.93</v>
      </c>
      <c r="N229" s="137">
        <f t="shared" si="3"/>
        <v>55</v>
      </c>
      <c r="O229" s="137"/>
      <c r="P229" s="343">
        <v>9.2799999999999994</v>
      </c>
      <c r="Q229" s="343">
        <v>16.510000000000002</v>
      </c>
      <c r="R229" s="343">
        <v>32.369999999999997</v>
      </c>
      <c r="S229" s="343">
        <v>66.069999999999993</v>
      </c>
      <c r="T229" s="343">
        <v>99.15</v>
      </c>
      <c r="U229" s="343">
        <v>129.5</v>
      </c>
      <c r="V229" s="343">
        <v>238.53</v>
      </c>
      <c r="W229" s="343">
        <v>357.18</v>
      </c>
      <c r="X229" s="343">
        <v>655.64</v>
      </c>
      <c r="Y229" s="343">
        <v>1279.24</v>
      </c>
      <c r="Z229" s="343">
        <v>2072.17</v>
      </c>
    </row>
    <row r="230" spans="1:26" ht="13.5" hidden="1">
      <c r="A230" s="134">
        <v>12</v>
      </c>
      <c r="B230" s="135" t="s">
        <v>216</v>
      </c>
      <c r="C230" s="342">
        <v>32.67</v>
      </c>
      <c r="D230" s="342">
        <v>58.11</v>
      </c>
      <c r="E230" s="342">
        <v>113.93</v>
      </c>
      <c r="F230" s="342">
        <v>232.55</v>
      </c>
      <c r="G230" s="342">
        <v>348.99</v>
      </c>
      <c r="H230" s="342">
        <v>455.84</v>
      </c>
      <c r="I230" s="342">
        <v>839.62</v>
      </c>
      <c r="J230" s="342">
        <v>1257.26</v>
      </c>
      <c r="K230" s="342">
        <v>2307.85</v>
      </c>
      <c r="L230" s="342">
        <v>4502.9399999999996</v>
      </c>
      <c r="M230" s="342">
        <v>7294.03</v>
      </c>
      <c r="N230" s="137">
        <f t="shared" si="3"/>
        <v>80</v>
      </c>
      <c r="O230" s="137"/>
      <c r="P230" s="343">
        <v>22.68</v>
      </c>
      <c r="Q230" s="343">
        <v>40.340000000000003</v>
      </c>
      <c r="R230" s="343">
        <v>79.11</v>
      </c>
      <c r="S230" s="343">
        <v>161.47999999999999</v>
      </c>
      <c r="T230" s="343">
        <v>242.34</v>
      </c>
      <c r="U230" s="343">
        <v>316.54000000000002</v>
      </c>
      <c r="V230" s="343">
        <v>583.05999999999995</v>
      </c>
      <c r="W230" s="343">
        <v>873.09</v>
      </c>
      <c r="X230" s="343">
        <v>1602.66</v>
      </c>
      <c r="Y230" s="343">
        <v>3127.03</v>
      </c>
      <c r="Z230" s="343">
        <v>5065.29</v>
      </c>
    </row>
    <row r="231" spans="1:26" ht="13.5" hidden="1">
      <c r="A231" s="134">
        <v>12</v>
      </c>
      <c r="B231" s="135" t="s">
        <v>217</v>
      </c>
      <c r="C231" s="342">
        <v>59.67</v>
      </c>
      <c r="D231" s="342">
        <v>106.15</v>
      </c>
      <c r="E231" s="342">
        <v>208.15</v>
      </c>
      <c r="F231" s="342">
        <v>424.91</v>
      </c>
      <c r="G231" s="342">
        <v>637.67999999999995</v>
      </c>
      <c r="H231" s="342">
        <v>832.92</v>
      </c>
      <c r="I231" s="342">
        <v>1534.18</v>
      </c>
      <c r="J231" s="342">
        <v>2297.33</v>
      </c>
      <c r="K231" s="342">
        <v>4217.04</v>
      </c>
      <c r="L231" s="342">
        <v>8228.06</v>
      </c>
      <c r="M231" s="342">
        <v>13328.16</v>
      </c>
      <c r="N231" s="137">
        <f t="shared" si="3"/>
        <v>105</v>
      </c>
      <c r="O231" s="137"/>
      <c r="P231" s="343">
        <v>41.4</v>
      </c>
      <c r="Q231" s="343">
        <v>73.69</v>
      </c>
      <c r="R231" s="343">
        <v>144.52000000000001</v>
      </c>
      <c r="S231" s="343">
        <v>295.04000000000002</v>
      </c>
      <c r="T231" s="343">
        <v>442.8</v>
      </c>
      <c r="U231" s="343">
        <v>578.38</v>
      </c>
      <c r="V231" s="343">
        <v>1065.3699999999999</v>
      </c>
      <c r="W231" s="343">
        <v>1595.34</v>
      </c>
      <c r="X231" s="343">
        <v>2928.47</v>
      </c>
      <c r="Y231" s="343">
        <v>5713.9</v>
      </c>
      <c r="Z231" s="343">
        <v>9255.64</v>
      </c>
    </row>
    <row r="232" spans="1:26" ht="13.5" hidden="1">
      <c r="A232" s="134">
        <v>12</v>
      </c>
      <c r="B232" s="135" t="s">
        <v>218</v>
      </c>
      <c r="C232" s="342">
        <v>263.49</v>
      </c>
      <c r="D232" s="342">
        <v>469.01</v>
      </c>
      <c r="E232" s="342">
        <v>919.98</v>
      </c>
      <c r="F232" s="342">
        <v>1878.3</v>
      </c>
      <c r="G232" s="342">
        <v>2819.01</v>
      </c>
      <c r="H232" s="342">
        <v>3252.3</v>
      </c>
      <c r="I232" s="342">
        <v>6782.65</v>
      </c>
      <c r="J232" s="342">
        <v>10156.73</v>
      </c>
      <c r="K232" s="342">
        <v>18644.2</v>
      </c>
      <c r="L232" s="342">
        <v>36377.82</v>
      </c>
      <c r="M232" s="342">
        <v>58926.52</v>
      </c>
      <c r="N232" s="137">
        <f t="shared" si="3"/>
        <v>157.5</v>
      </c>
      <c r="O232" s="137"/>
      <c r="P232" s="343">
        <v>182.75</v>
      </c>
      <c r="Q232" s="343">
        <v>318.94</v>
      </c>
      <c r="R232" s="343">
        <v>638.65</v>
      </c>
      <c r="S232" s="343">
        <v>1304.1500000000001</v>
      </c>
      <c r="T232" s="343">
        <v>1957.41</v>
      </c>
      <c r="U232" s="343">
        <v>2258.31</v>
      </c>
      <c r="V232" s="343">
        <v>4709.9399999999996</v>
      </c>
      <c r="W232" s="343">
        <v>7053.06</v>
      </c>
      <c r="X232" s="343">
        <v>12947.13</v>
      </c>
      <c r="Y232" s="343">
        <v>25262.14</v>
      </c>
      <c r="Z232" s="343">
        <v>40920.97</v>
      </c>
    </row>
    <row r="233" spans="1:26" ht="13.5" hidden="1">
      <c r="A233" s="134">
        <v>12</v>
      </c>
      <c r="B233" s="135" t="s">
        <v>219</v>
      </c>
      <c r="C233" s="342">
        <v>419.6</v>
      </c>
      <c r="D233" s="342">
        <v>814.45</v>
      </c>
      <c r="E233" s="342">
        <v>1405.89</v>
      </c>
      <c r="F233" s="342">
        <v>3221.05</v>
      </c>
      <c r="G233" s="342">
        <v>4711.41</v>
      </c>
      <c r="H233" s="342">
        <v>5692.58</v>
      </c>
      <c r="I233" s="342">
        <v>12580.09</v>
      </c>
      <c r="J233" s="342">
        <v>18838.48</v>
      </c>
      <c r="K233" s="342">
        <v>34581.370000000003</v>
      </c>
      <c r="L233" s="342">
        <v>67474.36</v>
      </c>
      <c r="M233" s="342">
        <v>109298.57</v>
      </c>
      <c r="N233" s="137">
        <f t="shared" si="3"/>
        <v>200</v>
      </c>
      <c r="O233" s="137"/>
      <c r="P233" s="343">
        <v>260.23</v>
      </c>
      <c r="Q233" s="343">
        <v>564.98</v>
      </c>
      <c r="R233" s="343">
        <v>975.69</v>
      </c>
      <c r="S233" s="343">
        <v>2236.2199999999998</v>
      </c>
      <c r="T233" s="343">
        <v>3271.2</v>
      </c>
      <c r="U233" s="343">
        <v>3952.56</v>
      </c>
      <c r="V233" s="343">
        <v>8735.56</v>
      </c>
      <c r="W233" s="343">
        <v>13081.66</v>
      </c>
      <c r="X233" s="343">
        <v>24014.22</v>
      </c>
      <c r="Y233" s="343">
        <v>46856.58</v>
      </c>
      <c r="Z233" s="343">
        <v>75901.17</v>
      </c>
    </row>
    <row r="234" spans="1:26" ht="13.5" hidden="1">
      <c r="A234" s="134">
        <v>12</v>
      </c>
      <c r="B234" s="135" t="s">
        <v>220</v>
      </c>
      <c r="C234" s="342">
        <v>632.75</v>
      </c>
      <c r="D234" s="342">
        <v>1069.48</v>
      </c>
      <c r="E234" s="342">
        <v>2233.96</v>
      </c>
      <c r="F234" s="342">
        <v>4992.3100000000004</v>
      </c>
      <c r="G234" s="342">
        <v>7065.45</v>
      </c>
      <c r="H234" s="342">
        <v>9131.84</v>
      </c>
      <c r="I234" s="342">
        <v>23177.43</v>
      </c>
      <c r="J234" s="342">
        <v>34708.29</v>
      </c>
      <c r="K234" s="342">
        <v>63714.06</v>
      </c>
      <c r="L234" s="342">
        <v>124318.32</v>
      </c>
      <c r="M234" s="342">
        <v>201378.04</v>
      </c>
      <c r="N234" s="137">
        <f t="shared" si="3"/>
        <v>235</v>
      </c>
      <c r="O234" s="137"/>
      <c r="P234" s="343">
        <v>437.97</v>
      </c>
      <c r="Q234" s="343">
        <v>616.92999999999995</v>
      </c>
      <c r="R234" s="343">
        <v>1538.6</v>
      </c>
      <c r="S234" s="343">
        <v>3465.44</v>
      </c>
      <c r="T234" s="343">
        <v>4905.12</v>
      </c>
      <c r="U234" s="343">
        <v>6340.12</v>
      </c>
      <c r="V234" s="343">
        <v>16094</v>
      </c>
      <c r="W234" s="343">
        <v>24101.54</v>
      </c>
      <c r="X234" s="343">
        <v>44244.43</v>
      </c>
      <c r="Y234" s="343">
        <v>86330.73</v>
      </c>
      <c r="Z234" s="343">
        <v>139844.43</v>
      </c>
    </row>
    <row r="235" spans="1:26" ht="13.5" hidden="1">
      <c r="A235" s="134">
        <v>12</v>
      </c>
      <c r="B235" s="135" t="s">
        <v>480</v>
      </c>
      <c r="C235" s="136">
        <v>13.68</v>
      </c>
      <c r="D235" s="136">
        <v>25.87</v>
      </c>
      <c r="E235" s="136">
        <v>39.19</v>
      </c>
      <c r="F235" s="136">
        <v>91.66</v>
      </c>
      <c r="G235" s="136">
        <v>110.26</v>
      </c>
      <c r="H235" s="136">
        <v>0</v>
      </c>
      <c r="I235" s="136">
        <v>0</v>
      </c>
      <c r="J235" s="136">
        <v>0</v>
      </c>
      <c r="K235" s="136">
        <v>0</v>
      </c>
      <c r="L235" s="136">
        <v>0</v>
      </c>
      <c r="M235" s="136">
        <v>0</v>
      </c>
      <c r="N235" s="137">
        <f t="shared" si="3"/>
        <v>55</v>
      </c>
      <c r="O235" s="137"/>
      <c r="P235" s="137">
        <v>9.5</v>
      </c>
      <c r="Q235" s="137">
        <v>17.97</v>
      </c>
      <c r="R235" s="137">
        <v>27.21</v>
      </c>
      <c r="S235" s="137">
        <v>63.66</v>
      </c>
      <c r="T235" s="137">
        <v>76.569999999999993</v>
      </c>
      <c r="U235" s="137">
        <v>0</v>
      </c>
      <c r="V235" s="137">
        <v>0</v>
      </c>
      <c r="W235" s="137">
        <v>0</v>
      </c>
      <c r="X235" s="137">
        <v>0</v>
      </c>
      <c r="Y235" s="137">
        <v>0</v>
      </c>
      <c r="Z235" s="137">
        <v>0</v>
      </c>
    </row>
    <row r="236" spans="1:26" ht="13.5" hidden="1">
      <c r="A236" s="134">
        <v>12</v>
      </c>
      <c r="B236" s="135" t="s">
        <v>481</v>
      </c>
      <c r="C236" s="136">
        <v>35.020000000000003</v>
      </c>
      <c r="D236" s="136">
        <v>52.86</v>
      </c>
      <c r="E236" s="136">
        <v>99.59</v>
      </c>
      <c r="F236" s="136">
        <v>237.85</v>
      </c>
      <c r="G236" s="136">
        <v>330.39</v>
      </c>
      <c r="H236" s="136">
        <v>383.17</v>
      </c>
      <c r="I236" s="136">
        <v>0</v>
      </c>
      <c r="J236" s="136">
        <v>0</v>
      </c>
      <c r="K236" s="136">
        <v>0</v>
      </c>
      <c r="L236" s="136">
        <v>0</v>
      </c>
      <c r="M236" s="136">
        <v>0</v>
      </c>
      <c r="N236" s="137">
        <f t="shared" si="3"/>
        <v>80</v>
      </c>
      <c r="O236" s="137"/>
      <c r="P236" s="137">
        <v>24.32</v>
      </c>
      <c r="Q236" s="137">
        <v>36.71</v>
      </c>
      <c r="R236" s="137">
        <v>69.16</v>
      </c>
      <c r="S236" s="137">
        <v>165.18</v>
      </c>
      <c r="T236" s="137">
        <v>229.43</v>
      </c>
      <c r="U236" s="137">
        <v>266.08999999999997</v>
      </c>
      <c r="V236" s="137">
        <v>0</v>
      </c>
      <c r="W236" s="137">
        <v>0</v>
      </c>
      <c r="X236" s="137">
        <v>0</v>
      </c>
      <c r="Y236" s="137">
        <v>0</v>
      </c>
      <c r="Z236" s="137">
        <v>0</v>
      </c>
    </row>
    <row r="237" spans="1:26" ht="13.5" hidden="1">
      <c r="A237" s="134">
        <v>12</v>
      </c>
      <c r="B237" s="135" t="s">
        <v>403</v>
      </c>
      <c r="C237" s="136">
        <v>57.16</v>
      </c>
      <c r="D237" s="136">
        <v>99.41</v>
      </c>
      <c r="E237" s="136">
        <v>197.13</v>
      </c>
      <c r="F237" s="136">
        <v>345.73</v>
      </c>
      <c r="G237" s="136">
        <v>603.71</v>
      </c>
      <c r="H237" s="136">
        <v>821.71</v>
      </c>
      <c r="I237" s="136">
        <v>1311.09</v>
      </c>
      <c r="J237" s="136">
        <v>2414.8200000000002</v>
      </c>
      <c r="K237" s="136">
        <v>0</v>
      </c>
      <c r="L237" s="136">
        <v>0</v>
      </c>
      <c r="M237" s="136">
        <v>0</v>
      </c>
      <c r="N237" s="137">
        <f t="shared" si="3"/>
        <v>105</v>
      </c>
      <c r="O237" s="137"/>
      <c r="P237" s="137">
        <v>39.69</v>
      </c>
      <c r="Q237" s="137">
        <v>69.040000000000006</v>
      </c>
      <c r="R237" s="137">
        <v>136.88999999999999</v>
      </c>
      <c r="S237" s="137">
        <v>240.09</v>
      </c>
      <c r="T237" s="137">
        <v>419.24</v>
      </c>
      <c r="U237" s="137">
        <v>570.63</v>
      </c>
      <c r="V237" s="137">
        <v>910.48</v>
      </c>
      <c r="W237" s="137">
        <v>1676.96</v>
      </c>
      <c r="X237" s="137">
        <v>0</v>
      </c>
      <c r="Y237" s="137">
        <v>0</v>
      </c>
      <c r="Z237" s="137">
        <v>0</v>
      </c>
    </row>
    <row r="238" spans="1:26" ht="13.5" hidden="1">
      <c r="A238" s="134">
        <v>12</v>
      </c>
      <c r="B238" s="135" t="s">
        <v>404</v>
      </c>
      <c r="C238" s="136">
        <v>247.23</v>
      </c>
      <c r="D238" s="136">
        <v>392.68</v>
      </c>
      <c r="E238" s="136">
        <v>804.53</v>
      </c>
      <c r="F238" s="136">
        <v>1614.65</v>
      </c>
      <c r="G238" s="136">
        <v>2488.21</v>
      </c>
      <c r="H238" s="136">
        <v>3632.97</v>
      </c>
      <c r="I238" s="136">
        <v>6458.6</v>
      </c>
      <c r="J238" s="136">
        <v>8174.17</v>
      </c>
      <c r="K238" s="136">
        <v>17294.12</v>
      </c>
      <c r="L238" s="136">
        <v>22240.28</v>
      </c>
      <c r="M238" s="136">
        <v>0</v>
      </c>
      <c r="N238" s="137">
        <f t="shared" si="3"/>
        <v>157.5</v>
      </c>
      <c r="O238" s="137"/>
      <c r="P238" s="137">
        <v>171.69</v>
      </c>
      <c r="Q238" s="137">
        <v>272.69</v>
      </c>
      <c r="R238" s="137">
        <v>558.70000000000005</v>
      </c>
      <c r="S238" s="137">
        <v>1121.29</v>
      </c>
      <c r="T238" s="137">
        <v>1727.93</v>
      </c>
      <c r="U238" s="137">
        <v>2522.89</v>
      </c>
      <c r="V238" s="137">
        <v>4485.1400000000003</v>
      </c>
      <c r="W238" s="137">
        <v>5676.51</v>
      </c>
      <c r="X238" s="137">
        <v>12009.8</v>
      </c>
      <c r="Y238" s="137">
        <v>13011.68</v>
      </c>
      <c r="Z238" s="137">
        <v>0</v>
      </c>
    </row>
    <row r="239" spans="1:26" ht="13.5" hidden="1">
      <c r="A239" s="134">
        <v>12</v>
      </c>
      <c r="B239" s="135" t="s">
        <v>405</v>
      </c>
      <c r="C239" s="136">
        <v>325.67</v>
      </c>
      <c r="D239" s="136">
        <v>815.25</v>
      </c>
      <c r="E239" s="136">
        <v>1684.64</v>
      </c>
      <c r="F239" s="136">
        <v>3168.5</v>
      </c>
      <c r="G239" s="136">
        <v>4038.93</v>
      </c>
      <c r="H239" s="136">
        <v>6738.56</v>
      </c>
      <c r="I239" s="136">
        <v>10751.84</v>
      </c>
      <c r="J239" s="136">
        <v>19803.13</v>
      </c>
      <c r="K239" s="136">
        <v>32077.79</v>
      </c>
      <c r="L239" s="136">
        <v>43263.94</v>
      </c>
      <c r="M239" s="136">
        <v>0</v>
      </c>
      <c r="N239" s="137">
        <f t="shared" si="3"/>
        <v>200</v>
      </c>
      <c r="O239" s="137"/>
      <c r="P239" s="137">
        <v>188.28</v>
      </c>
      <c r="Q239" s="137">
        <v>566.15</v>
      </c>
      <c r="R239" s="137">
        <v>1169.8900000000001</v>
      </c>
      <c r="S239" s="137">
        <v>2200.35</v>
      </c>
      <c r="T239" s="137">
        <v>2804.81</v>
      </c>
      <c r="U239" s="137">
        <v>4679.5600000000004</v>
      </c>
      <c r="V239" s="137">
        <v>7466.55</v>
      </c>
      <c r="W239" s="137">
        <v>13752.17</v>
      </c>
      <c r="X239" s="137">
        <v>22276.25</v>
      </c>
      <c r="Y239" s="137">
        <v>25013.71</v>
      </c>
      <c r="Z239" s="137">
        <v>0</v>
      </c>
    </row>
    <row r="240" spans="1:26" ht="13.5" hidden="1">
      <c r="A240" s="134">
        <v>12</v>
      </c>
      <c r="B240" s="135" t="s">
        <v>406</v>
      </c>
      <c r="C240" s="136">
        <v>559.5</v>
      </c>
      <c r="D240" s="136">
        <v>1379.51</v>
      </c>
      <c r="E240" s="136">
        <v>2860.55</v>
      </c>
      <c r="F240" s="136">
        <v>6983.77</v>
      </c>
      <c r="G240" s="136">
        <v>9121.65</v>
      </c>
      <c r="H240" s="136">
        <v>11442.2</v>
      </c>
      <c r="I240" s="136">
        <v>22072.15</v>
      </c>
      <c r="J240" s="136">
        <v>36486.61</v>
      </c>
      <c r="K240" s="136">
        <v>59102.28</v>
      </c>
      <c r="L240" s="136">
        <v>111740.25</v>
      </c>
      <c r="M240" s="136">
        <v>0</v>
      </c>
      <c r="N240" s="137">
        <f t="shared" si="3"/>
        <v>235</v>
      </c>
      <c r="O240" s="137"/>
      <c r="P240" s="137">
        <v>323.94</v>
      </c>
      <c r="Q240" s="137">
        <v>957.99</v>
      </c>
      <c r="R240" s="137">
        <v>1986.49</v>
      </c>
      <c r="S240" s="137">
        <v>4849.84</v>
      </c>
      <c r="T240" s="137">
        <v>6334.48</v>
      </c>
      <c r="U240" s="137">
        <v>7945.97</v>
      </c>
      <c r="V240" s="137">
        <v>15327.88</v>
      </c>
      <c r="W240" s="137">
        <v>25337.93</v>
      </c>
      <c r="X240" s="137">
        <v>41043.25</v>
      </c>
      <c r="Y240" s="137">
        <v>77597.399999999994</v>
      </c>
      <c r="Z240" s="137">
        <v>0</v>
      </c>
    </row>
    <row r="241" spans="1:40" ht="13.5" hidden="1">
      <c r="A241" s="134">
        <v>12</v>
      </c>
      <c r="B241" s="135" t="s">
        <v>482</v>
      </c>
      <c r="C241" s="136">
        <v>1261.3</v>
      </c>
      <c r="D241" s="136">
        <v>1664.15</v>
      </c>
      <c r="E241" s="136">
        <v>3645.15</v>
      </c>
      <c r="F241" s="136">
        <v>8368.1200000000008</v>
      </c>
      <c r="G241" s="136">
        <v>10835.77</v>
      </c>
      <c r="H241" s="136">
        <v>14580.61</v>
      </c>
      <c r="I241" s="136">
        <v>28126.18</v>
      </c>
      <c r="J241" s="136">
        <v>46494.3</v>
      </c>
      <c r="K241" s="136">
        <v>75313.08</v>
      </c>
      <c r="L241" s="136">
        <v>142388.79999999999</v>
      </c>
      <c r="M241" s="136">
        <v>0</v>
      </c>
      <c r="N241" s="137">
        <f t="shared" si="3"/>
        <v>300</v>
      </c>
      <c r="O241" s="137"/>
      <c r="P241" s="137">
        <v>875.9</v>
      </c>
      <c r="Q241" s="137">
        <v>1155.6600000000001</v>
      </c>
      <c r="R241" s="137">
        <v>2531.36</v>
      </c>
      <c r="S241" s="137">
        <v>5811.19</v>
      </c>
      <c r="T241" s="137">
        <v>7524.84</v>
      </c>
      <c r="U241" s="137">
        <v>10125.43</v>
      </c>
      <c r="V241" s="137">
        <v>19532.07</v>
      </c>
      <c r="W241" s="137">
        <v>32287.71</v>
      </c>
      <c r="X241" s="137">
        <v>52300.75</v>
      </c>
      <c r="Y241" s="137">
        <v>98881.11</v>
      </c>
      <c r="Z241" s="137">
        <v>0</v>
      </c>
    </row>
    <row r="242" spans="1:40" ht="13.5" hidden="1">
      <c r="A242" s="134">
        <v>12</v>
      </c>
      <c r="B242" s="135" t="s">
        <v>483</v>
      </c>
      <c r="C242" s="136">
        <v>1380.89</v>
      </c>
      <c r="D242" s="136">
        <v>3001.87</v>
      </c>
      <c r="E242" s="136">
        <v>6567.89</v>
      </c>
      <c r="F242" s="136">
        <v>13895.69</v>
      </c>
      <c r="G242" s="136">
        <v>19301.54</v>
      </c>
      <c r="H242" s="136">
        <v>26271.54</v>
      </c>
      <c r="I242" s="136">
        <v>41918.03</v>
      </c>
      <c r="J242" s="136">
        <v>67255.149999999994</v>
      </c>
      <c r="K242" s="136">
        <v>105086.17</v>
      </c>
      <c r="L242" s="136">
        <v>157563.60999999999</v>
      </c>
      <c r="M242" s="136">
        <v>0</v>
      </c>
      <c r="N242" s="137">
        <f t="shared" si="3"/>
        <v>350</v>
      </c>
      <c r="O242" s="137"/>
      <c r="P242" s="137">
        <v>799.36</v>
      </c>
      <c r="Q242" s="137">
        <v>1975.79</v>
      </c>
      <c r="R242" s="137">
        <v>4561.03</v>
      </c>
      <c r="S242" s="137">
        <v>9649.7900000000009</v>
      </c>
      <c r="T242" s="137">
        <v>13403.85</v>
      </c>
      <c r="U242" s="137">
        <v>18244.13</v>
      </c>
      <c r="V242" s="137">
        <v>29109.74</v>
      </c>
      <c r="W242" s="137">
        <v>46704.97</v>
      </c>
      <c r="X242" s="137">
        <v>72976.509999999995</v>
      </c>
      <c r="Y242" s="137">
        <v>109419.17</v>
      </c>
      <c r="Z242" s="137">
        <v>0</v>
      </c>
    </row>
    <row r="243" spans="1:40" ht="13.5" hidden="1">
      <c r="A243" s="134">
        <v>12</v>
      </c>
      <c r="B243" s="135" t="s">
        <v>484</v>
      </c>
      <c r="C243" s="136">
        <v>1770.63</v>
      </c>
      <c r="D243" s="136">
        <v>4770.7700000000004</v>
      </c>
      <c r="E243" s="136">
        <v>7989.79</v>
      </c>
      <c r="F243" s="136">
        <v>16964.45</v>
      </c>
      <c r="G243" s="136">
        <v>24710.41</v>
      </c>
      <c r="H243" s="136">
        <v>30741.8</v>
      </c>
      <c r="I243" s="136">
        <v>51953.64</v>
      </c>
      <c r="J243" s="136">
        <v>81177.56</v>
      </c>
      <c r="K243" s="136">
        <v>171747.56</v>
      </c>
      <c r="L243" s="136">
        <v>225493.21</v>
      </c>
      <c r="M243" s="136">
        <v>0</v>
      </c>
      <c r="N243" s="137">
        <f t="shared" si="3"/>
        <v>425</v>
      </c>
      <c r="O243" s="137"/>
      <c r="P243" s="137">
        <v>1024.67</v>
      </c>
      <c r="Q243" s="137">
        <v>3313.03</v>
      </c>
      <c r="R243" s="137">
        <v>5548.47</v>
      </c>
      <c r="S243" s="137">
        <v>11780.87</v>
      </c>
      <c r="T243" s="137">
        <v>17160.009999999998</v>
      </c>
      <c r="U243" s="137">
        <v>21348.47</v>
      </c>
      <c r="V243" s="137">
        <v>36078.910000000003</v>
      </c>
      <c r="W243" s="137">
        <v>56373.3</v>
      </c>
      <c r="X243" s="137">
        <v>119269.14</v>
      </c>
      <c r="Y243" s="137">
        <v>156592.51</v>
      </c>
      <c r="Z243" s="137">
        <v>0</v>
      </c>
    </row>
    <row r="244" spans="1:40" hidden="1" thickBot="1">
      <c r="B244" s="141"/>
      <c r="C244" s="142"/>
      <c r="D244" s="142"/>
      <c r="E244" s="142"/>
      <c r="F244" s="142"/>
      <c r="G244" s="142"/>
      <c r="H244" s="142"/>
      <c r="I244" s="140"/>
    </row>
    <row r="245" spans="1:40" ht="14" customHeight="1" thickBot="1">
      <c r="E245" s="145"/>
      <c r="F245" s="146" t="s">
        <v>325</v>
      </c>
      <c r="G245" s="146" t="s">
        <v>326</v>
      </c>
      <c r="H245" s="146" t="s">
        <v>41</v>
      </c>
      <c r="I245" s="146" t="s">
        <v>40</v>
      </c>
      <c r="J245" s="146" t="s">
        <v>224</v>
      </c>
      <c r="K245" s="146" t="s">
        <v>42</v>
      </c>
      <c r="L245" s="147" t="s">
        <v>414</v>
      </c>
      <c r="M245" s="147" t="s">
        <v>415</v>
      </c>
      <c r="N245" s="146" t="s">
        <v>416</v>
      </c>
      <c r="O245" s="146" t="s">
        <v>327</v>
      </c>
      <c r="P245" s="148" t="s">
        <v>64</v>
      </c>
      <c r="Q245" s="148"/>
      <c r="R245" s="146" t="s">
        <v>329</v>
      </c>
      <c r="S245" s="146" t="s">
        <v>330</v>
      </c>
      <c r="T245" s="146" t="s">
        <v>341</v>
      </c>
      <c r="U245" s="146" t="s">
        <v>63</v>
      </c>
      <c r="V245" s="146" t="s">
        <v>223</v>
      </c>
      <c r="W245" s="148" t="s">
        <v>328</v>
      </c>
      <c r="X245" s="148" t="s">
        <v>270</v>
      </c>
      <c r="Y245" s="148" t="s">
        <v>443</v>
      </c>
      <c r="Z245" s="149" t="s">
        <v>344</v>
      </c>
      <c r="AA245" s="148" t="s">
        <v>112</v>
      </c>
      <c r="AB245" s="148" t="s">
        <v>338</v>
      </c>
      <c r="AC245" s="148"/>
      <c r="AD245" s="148" t="s">
        <v>270</v>
      </c>
      <c r="AE245" s="146" t="s">
        <v>331</v>
      </c>
      <c r="AF245" s="150"/>
      <c r="AG245" s="150"/>
      <c r="AH245" s="150"/>
      <c r="AI245" s="150"/>
    </row>
    <row r="246" spans="1:40" ht="14" customHeight="1">
      <c r="B246" s="151" t="s">
        <v>37</v>
      </c>
      <c r="C246" s="220">
        <f>2+22*(Inertia!D38-2)</f>
        <v>46</v>
      </c>
      <c r="D246" s="152"/>
      <c r="E246" s="153">
        <v>0</v>
      </c>
      <c r="F246" s="221">
        <f>Inertia!$N$50</f>
        <v>0</v>
      </c>
      <c r="G246" s="221">
        <f t="shared" ref="G246:G265" ca="1" si="4">IFERROR(INDIRECT(ADDRESS($C$246+$E246,$C$247,4))/K246,0)</f>
        <v>3.5090909090909088</v>
      </c>
      <c r="H246" s="221" t="str">
        <f ca="1">INDIRECT(ADDRESS($C$246+$E246,2,4))&amp;LEFT(Inertia!$D$39,1)&amp;Inertia!$D$38&amp;IF(Inertia!$D$40=50,"E","U")</f>
        <v>ITP 75C4E</v>
      </c>
      <c r="I246" s="220">
        <f ca="1">INDIRECT(ADDRESS($C$246+$E246,14,4))</f>
        <v>37.5</v>
      </c>
      <c r="J246" s="221">
        <f ca="1">Inertia!$F$49/I246</f>
        <v>0</v>
      </c>
      <c r="K246" s="222">
        <f ca="1">IF(J246&lt;5,1.1,IF(J246&lt;8,1.25,IF(J246&lt;10,1.7,100)))*Q246</f>
        <v>1.1000000000000001</v>
      </c>
      <c r="L246" s="156">
        <v>6116</v>
      </c>
      <c r="M246" s="156">
        <v>5723</v>
      </c>
      <c r="N246" s="152">
        <v>40.729999999999997</v>
      </c>
      <c r="O246" s="157">
        <f>((-N246/L246*S246+N246)-R246)</f>
        <v>40.729999999999997</v>
      </c>
      <c r="P246" s="157">
        <f t="shared" ref="P246:P251" si="5">(-N246/L246*T246+N246)-U246</f>
        <v>40.729999999999997</v>
      </c>
      <c r="Q246" s="153">
        <f t="shared" ref="Q246:Q265" si="6">IF(AND(O246&gt;0,P246&gt;0),1,10000)</f>
        <v>1</v>
      </c>
      <c r="R246" s="158">
        <f t="shared" ref="R246:R251" si="7">$C$253+U246</f>
        <v>0</v>
      </c>
      <c r="S246" s="158">
        <f>((Inertia!$M$49/2+Inertia!$L$49)*9.81+IF(Inertia!$F$56&lt;=V246,Inertia!$F$55,0))</f>
        <v>0</v>
      </c>
      <c r="T246" s="158">
        <f>Inertia!$N$49*9.81+IF(Inertia!$F$56&lt;=V246,Inertia!$F$55,0)</f>
        <v>0</v>
      </c>
      <c r="U246" s="158">
        <f>Inertia!$F$57*Inertia!$F$58/1000+Inertia!$F$59+IF(Inertia!$F$56&gt;V246,Inertia!$F$55,0)*Inertia!$F$56/1000</f>
        <v>0</v>
      </c>
      <c r="V246" s="153">
        <v>0</v>
      </c>
      <c r="W246" s="153">
        <f ca="1">IF(G246&gt;=F246,1,0)</f>
        <v>1</v>
      </c>
      <c r="X246" s="159">
        <f ca="1">IF(W246=0,"",0.031)</f>
        <v>3.1E-2</v>
      </c>
      <c r="Y246" s="160" t="str">
        <f t="shared" ref="Y246:Y267" ca="1" si="8">IF(W246=0,"",H246)</f>
        <v>ITP 75C4E</v>
      </c>
      <c r="Z246" s="161">
        <f ca="1">IF(W246=0,"",IF(G246&gt;0,F246/G246,""))</f>
        <v>0</v>
      </c>
      <c r="AA246" s="154">
        <f ca="1">1*W246</f>
        <v>1</v>
      </c>
      <c r="AB246" s="162"/>
      <c r="AC246" s="154"/>
      <c r="AD246" s="163"/>
      <c r="AE246" s="164">
        <f ca="1">IF(F246&lt;G246,F246/G246*$C$260*VLOOKUP(Inertia!$D$38,$A$270:$E$277,5,FALSE),"")</f>
        <v>0</v>
      </c>
      <c r="AF246" s="164"/>
      <c r="AG246" s="164"/>
      <c r="AH246" s="164"/>
      <c r="AI246" s="164"/>
    </row>
    <row r="247" spans="1:40" ht="14" customHeight="1">
      <c r="B247" s="151" t="s">
        <v>38</v>
      </c>
      <c r="C247" s="220">
        <f>CODE(LEFT(Inertia!D39,1))-CODE("A")+IF(Inertia!D40=50,3,16)</f>
        <v>5</v>
      </c>
      <c r="D247" s="152"/>
      <c r="E247" s="153">
        <v>1</v>
      </c>
      <c r="F247" s="154">
        <f>Inertia!$N$50</f>
        <v>0</v>
      </c>
      <c r="G247" s="154">
        <f t="shared" ca="1" si="4"/>
        <v>7.9545454545454541</v>
      </c>
      <c r="H247" s="154" t="str">
        <f ca="1">INDIRECT(ADDRESS($C$246+$E247,2,4))&amp;LEFT(Inertia!$D$39,1)&amp;Inertia!$D$38&amp;IF(Inertia!$D$40=50,"E","U")</f>
        <v>ITP 100C4E</v>
      </c>
      <c r="I247" s="152">
        <f t="shared" ref="I247:I267" ca="1" si="9">INDIRECT(ADDRESS($C$246+$E247,14,4))</f>
        <v>50</v>
      </c>
      <c r="J247" s="154">
        <f ca="1">Inertia!$F$49/I247</f>
        <v>0</v>
      </c>
      <c r="K247" s="155">
        <f ca="1">IF(J247&lt;5,1.1,IF(J247&lt;8,1.25,IF(J247&lt;10,1.7,100)))*Q247</f>
        <v>1.1000000000000001</v>
      </c>
      <c r="L247" s="156">
        <v>11390</v>
      </c>
      <c r="M247" s="156">
        <v>10783</v>
      </c>
      <c r="N247" s="152">
        <v>108.59</v>
      </c>
      <c r="O247" s="157">
        <f t="shared" ref="O247:O251" si="10">((-N247/L247*S247+N247)-R247)</f>
        <v>108.59</v>
      </c>
      <c r="P247" s="157">
        <f t="shared" si="5"/>
        <v>108.59</v>
      </c>
      <c r="Q247" s="153">
        <f t="shared" si="6"/>
        <v>1</v>
      </c>
      <c r="R247" s="158">
        <f t="shared" si="7"/>
        <v>0</v>
      </c>
      <c r="S247" s="158">
        <f>((Inertia!$M$49/2+Inertia!$L$49)*9.81+IF(Inertia!$F$56&lt;=V247,Inertia!$F$55,0))</f>
        <v>0</v>
      </c>
      <c r="T247" s="158">
        <f>Inertia!$N$49*9.81+IF(Inertia!$F$56&lt;=V247,Inertia!$F$55,0)</f>
        <v>0</v>
      </c>
      <c r="U247" s="158">
        <f>Inertia!$F$57*Inertia!$F$58/1000+Inertia!$F$59+IF(Inertia!$F$56&gt;V247,Inertia!$F$55,0)*Inertia!$F$56/1000</f>
        <v>0</v>
      </c>
      <c r="V247" s="153">
        <v>0</v>
      </c>
      <c r="W247" s="153">
        <f ca="1">IF(AND(G247&gt;=F247,SUM($W$246:W246)=0),1,0)</f>
        <v>0</v>
      </c>
      <c r="X247" s="159" t="str">
        <f ca="1">IF(W247=0,"",0.023)</f>
        <v/>
      </c>
      <c r="Y247" s="160" t="str">
        <f t="shared" ca="1" si="8"/>
        <v/>
      </c>
      <c r="Z247" s="161" t="str">
        <f t="shared" ref="Z247:Z267" ca="1" si="11">IF(W247=0,"",IF(G247&gt;0,F247/G247,""))</f>
        <v/>
      </c>
      <c r="AA247" s="154">
        <f ca="1">3*W247</f>
        <v>0</v>
      </c>
      <c r="AB247" s="162"/>
      <c r="AC247" s="154"/>
      <c r="AD247" s="163"/>
      <c r="AE247" s="164">
        <f ca="1">IF(F247&lt;G247,F247/G247*$C$260*VLOOKUP(Inertia!$D$38,$A$270:$E$277,5,FALSE),"")</f>
        <v>0</v>
      </c>
      <c r="AF247" s="164"/>
      <c r="AG247" s="164"/>
      <c r="AH247" s="164"/>
      <c r="AI247" s="164"/>
    </row>
    <row r="248" spans="1:40" ht="14" customHeight="1">
      <c r="B248" s="151"/>
      <c r="C248" s="152"/>
      <c r="D248" s="152"/>
      <c r="E248" s="153">
        <v>2</v>
      </c>
      <c r="F248" s="154">
        <f>Inertia!$N$50</f>
        <v>0</v>
      </c>
      <c r="G248" s="154">
        <f t="shared" ca="1" si="4"/>
        <v>13.7</v>
      </c>
      <c r="H248" s="154" t="str">
        <f ca="1">INDIRECT(ADDRESS($C$246+$E248,2,4))&amp;LEFT(Inertia!$D$39,1)&amp;Inertia!$D$38&amp;IF(Inertia!$D$40=50,"E","U")</f>
        <v>ITP 150C4E</v>
      </c>
      <c r="I248" s="152">
        <f t="shared" ca="1" si="9"/>
        <v>75</v>
      </c>
      <c r="J248" s="154">
        <f ca="1">Inertia!$F$49/I248</f>
        <v>0</v>
      </c>
      <c r="K248" s="155">
        <f t="shared" ref="K248:K262" ca="1" si="12">IF(J248&lt;5,1.1,IF(J248&lt;8,1.25,IF(J248&lt;10,1.7,100)))*Q248</f>
        <v>1.1000000000000001</v>
      </c>
      <c r="L248" s="156">
        <v>15431</v>
      </c>
      <c r="M248" s="156">
        <v>18222</v>
      </c>
      <c r="N248" s="152">
        <v>191.24</v>
      </c>
      <c r="O248" s="157">
        <f t="shared" si="10"/>
        <v>191.24</v>
      </c>
      <c r="P248" s="157">
        <f t="shared" si="5"/>
        <v>191.24</v>
      </c>
      <c r="Q248" s="153">
        <f t="shared" si="6"/>
        <v>1</v>
      </c>
      <c r="R248" s="158">
        <f t="shared" si="7"/>
        <v>0</v>
      </c>
      <c r="S248" s="158">
        <f>((Inertia!$M$49/2+Inertia!$L$49)*9.81+IF(Inertia!$F$56&lt;=V248,Inertia!$F$55,0))</f>
        <v>0</v>
      </c>
      <c r="T248" s="158">
        <f>Inertia!$N$49*9.81+IF(Inertia!$F$56&lt;=V248,Inertia!$F$55,0)</f>
        <v>0</v>
      </c>
      <c r="U248" s="158">
        <f>Inertia!$F$57*Inertia!$F$58/1000+Inertia!$F$59+IF(Inertia!$F$56&gt;V248,Inertia!$F$55,0)*Inertia!$F$56/1000</f>
        <v>0</v>
      </c>
      <c r="V248" s="153">
        <v>0</v>
      </c>
      <c r="W248" s="153">
        <f ca="1">IF(AND(G248&gt;=F248,SUM($W$246:W247)=0),1,0)</f>
        <v>0</v>
      </c>
      <c r="X248" s="159" t="str">
        <f ca="1">IF(W248=0,"",0.015)</f>
        <v/>
      </c>
      <c r="Y248" s="160" t="str">
        <f t="shared" ca="1" si="8"/>
        <v/>
      </c>
      <c r="Z248" s="161" t="str">
        <f t="shared" ca="1" si="11"/>
        <v/>
      </c>
      <c r="AA248" s="154">
        <f ca="1">7*W248</f>
        <v>0</v>
      </c>
      <c r="AB248" s="165" t="str">
        <f ca="1">Y246&amp;Y247&amp;Y248&amp;Y249&amp;Y250&amp;Y251</f>
        <v>ITP 75C4E</v>
      </c>
      <c r="AC248" s="154">
        <f ca="1">IF(SUM(AA246:AA251)=0,1000,SUM(AA246:AA251))</f>
        <v>1</v>
      </c>
      <c r="AD248" s="166" t="str">
        <f ca="1">X246&amp;X247&amp;X248&amp;X249&amp;X250&amp;X251</f>
        <v>0,031</v>
      </c>
      <c r="AE248" s="164">
        <f ca="1">IF(F248&lt;G248,F248/G248*$C$260*VLOOKUP(Inertia!$D$38,$A$270:$E$277,5,FALSE),"")</f>
        <v>0</v>
      </c>
      <c r="AF248" s="164"/>
      <c r="AG248" s="164"/>
      <c r="AH248" s="164"/>
      <c r="AI248" s="164"/>
    </row>
    <row r="249" spans="1:40" ht="14" customHeight="1">
      <c r="B249" s="151"/>
      <c r="C249" s="152"/>
      <c r="D249" s="152"/>
      <c r="E249" s="153">
        <v>3</v>
      </c>
      <c r="F249" s="154">
        <f>Inertia!$N$50</f>
        <v>0</v>
      </c>
      <c r="G249" s="154">
        <f t="shared" ca="1" si="4"/>
        <v>24.981818181818181</v>
      </c>
      <c r="H249" s="154" t="str">
        <f ca="1">INDIRECT(ADDRESS($C$246+$E249,2,4))&amp;LEFT(Inertia!$D$39,1)&amp;Inertia!$D$38&amp;IF(Inertia!$D$40=50,"E","U")</f>
        <v>ITP 200C4E</v>
      </c>
      <c r="I249" s="152">
        <f t="shared" ca="1" si="9"/>
        <v>100</v>
      </c>
      <c r="J249" s="154">
        <f ca="1">Inertia!$F$49/I249</f>
        <v>0</v>
      </c>
      <c r="K249" s="155">
        <f t="shared" ca="1" si="12"/>
        <v>1.1000000000000001</v>
      </c>
      <c r="L249" s="156">
        <v>22409</v>
      </c>
      <c r="M249" s="156">
        <v>24848</v>
      </c>
      <c r="N249" s="152">
        <v>355.99</v>
      </c>
      <c r="O249" s="157">
        <f t="shared" si="10"/>
        <v>355.99</v>
      </c>
      <c r="P249" s="157">
        <f t="shared" si="5"/>
        <v>355.99</v>
      </c>
      <c r="Q249" s="153">
        <f t="shared" si="6"/>
        <v>1</v>
      </c>
      <c r="R249" s="158">
        <f t="shared" si="7"/>
        <v>0</v>
      </c>
      <c r="S249" s="158">
        <f>((Inertia!$M$49/2+Inertia!$L$49)*9.81+IF(Inertia!$F$56&lt;=V249,Inertia!$F$55,0))</f>
        <v>0</v>
      </c>
      <c r="T249" s="158">
        <f>Inertia!$N$49*9.81+IF(Inertia!$F$56&lt;=V249,Inertia!$F$55,0)</f>
        <v>0</v>
      </c>
      <c r="U249" s="158">
        <f>Inertia!$F$57*Inertia!$F$58/1000+Inertia!$F$59+IF(Inertia!$F$56&gt;V249,Inertia!$F$55,0)*Inertia!$F$56/1000</f>
        <v>0</v>
      </c>
      <c r="V249" s="153">
        <v>0</v>
      </c>
      <c r="W249" s="153">
        <f ca="1">IF(AND(G249&gt;=F249,SUM($W$246:W248)=0),1,0)</f>
        <v>0</v>
      </c>
      <c r="X249" s="159" t="str">
        <f ca="1">IF(W249=0,"",0.011)</f>
        <v/>
      </c>
      <c r="Y249" s="160" t="str">
        <f t="shared" ca="1" si="8"/>
        <v/>
      </c>
      <c r="Z249" s="161" t="str">
        <f t="shared" ca="1" si="11"/>
        <v/>
      </c>
      <c r="AA249" s="154">
        <f ca="1">9*W249</f>
        <v>0</v>
      </c>
      <c r="AB249" s="162"/>
      <c r="AC249" s="154"/>
      <c r="AD249" s="163"/>
      <c r="AE249" s="164">
        <f ca="1">IF(F249&lt;G249,F249/G249*$C$260*VLOOKUP(Inertia!$D$38,$A$270:$E$277,5,FALSE),"")</f>
        <v>0</v>
      </c>
      <c r="AF249" s="164"/>
      <c r="AG249" s="164"/>
      <c r="AH249" s="164"/>
      <c r="AI249" s="164"/>
    </row>
    <row r="250" spans="1:40" ht="14" customHeight="1">
      <c r="B250" s="151"/>
      <c r="C250" s="152"/>
      <c r="D250" s="152"/>
      <c r="E250" s="153">
        <v>4</v>
      </c>
      <c r="F250" s="154">
        <f>Inertia!$N$50</f>
        <v>0</v>
      </c>
      <c r="G250" s="154">
        <f t="shared" ca="1" si="4"/>
        <v>50.245454545454542</v>
      </c>
      <c r="H250" s="154" t="str">
        <f ca="1">INDIRECT(ADDRESS($C$246+$E250,2,4))&amp;LEFT(Inertia!$D$39,1)&amp;Inertia!$D$38&amp;IF(Inertia!$D$40=50,"E","U")</f>
        <v>ITP 300C4E</v>
      </c>
      <c r="I250" s="152">
        <f t="shared" ca="1" si="9"/>
        <v>150</v>
      </c>
      <c r="J250" s="154">
        <f ca="1">Inertia!$F$49/I250</f>
        <v>0</v>
      </c>
      <c r="K250" s="155">
        <f t="shared" ca="1" si="12"/>
        <v>1.1000000000000001</v>
      </c>
      <c r="L250" s="156">
        <v>32741</v>
      </c>
      <c r="M250" s="156">
        <v>41564</v>
      </c>
      <c r="N250" s="152">
        <v>702.67</v>
      </c>
      <c r="O250" s="157">
        <f t="shared" si="10"/>
        <v>702.67</v>
      </c>
      <c r="P250" s="157">
        <f t="shared" si="5"/>
        <v>702.67</v>
      </c>
      <c r="Q250" s="153">
        <f t="shared" si="6"/>
        <v>1</v>
      </c>
      <c r="R250" s="158">
        <f t="shared" si="7"/>
        <v>0</v>
      </c>
      <c r="S250" s="158">
        <f>((Inertia!$M$49/2+Inertia!$L$49)*9.81+IF(Inertia!$F$56&lt;=V250,Inertia!$F$55,0))</f>
        <v>0</v>
      </c>
      <c r="T250" s="158">
        <f>Inertia!$N$49*9.81+IF(Inertia!$F$56&lt;=V250,Inertia!$F$55,0)</f>
        <v>0</v>
      </c>
      <c r="U250" s="158">
        <f>Inertia!$F$57*Inertia!$F$58/1000+Inertia!$F$59+IF(Inertia!$F$56&gt;V250,Inertia!$F$55,0)*Inertia!$F$56/1000</f>
        <v>0</v>
      </c>
      <c r="V250" s="153">
        <v>0</v>
      </c>
      <c r="W250" s="153">
        <f ca="1">IF(AND(G250&gt;=F250,SUM($W$246:W249)=0),1,0)</f>
        <v>0</v>
      </c>
      <c r="X250" s="159" t="str">
        <f ca="1">IF(W250=0,"",0.008)</f>
        <v/>
      </c>
      <c r="Y250" s="160" t="str">
        <f t="shared" ca="1" si="8"/>
        <v/>
      </c>
      <c r="Z250" s="161" t="str">
        <f t="shared" ca="1" si="11"/>
        <v/>
      </c>
      <c r="AA250" s="154">
        <f ca="1">13*W250</f>
        <v>0</v>
      </c>
      <c r="AB250" s="162"/>
      <c r="AC250" s="154"/>
      <c r="AD250" s="163"/>
      <c r="AE250" s="164">
        <f ca="1">IF(F250&lt;G250,F250/G250*$C$260*VLOOKUP(Inertia!$D$38,$A$270:$E$277,5,FALSE),"")</f>
        <v>0</v>
      </c>
      <c r="AF250" s="164"/>
      <c r="AG250" s="164"/>
      <c r="AH250" s="164"/>
      <c r="AI250" s="164"/>
      <c r="AJ250" s="167"/>
      <c r="AK250" s="165"/>
      <c r="AL250" s="167"/>
    </row>
    <row r="251" spans="1:40" ht="14" customHeight="1">
      <c r="B251" s="151"/>
      <c r="C251" s="152"/>
      <c r="D251" s="152"/>
      <c r="E251" s="168">
        <v>5</v>
      </c>
      <c r="F251" s="169">
        <f>Inertia!$N$50</f>
        <v>0</v>
      </c>
      <c r="G251" s="169">
        <f t="shared" ca="1" si="4"/>
        <v>0</v>
      </c>
      <c r="H251" s="169" t="str">
        <f ca="1">INDIRECT(ADDRESS($C$246+$E251,2,4))&amp;LEFT(Inertia!$D$39,1)&amp;Inertia!$D$38&amp;IF(Inertia!$D$40=50,"E","U")</f>
        <v>ITP 450C4E</v>
      </c>
      <c r="I251" s="170">
        <f t="shared" ca="1" si="9"/>
        <v>225</v>
      </c>
      <c r="J251" s="169">
        <f ca="1">Inertia!$F$49/I251</f>
        <v>0</v>
      </c>
      <c r="K251" s="171">
        <f t="shared" ca="1" si="12"/>
        <v>1.1000000000000001</v>
      </c>
      <c r="L251" s="172">
        <v>52648</v>
      </c>
      <c r="M251" s="172">
        <v>51804</v>
      </c>
      <c r="N251" s="170">
        <v>1674.73</v>
      </c>
      <c r="O251" s="173">
        <f t="shared" si="10"/>
        <v>1674.73</v>
      </c>
      <c r="P251" s="173">
        <f t="shared" si="5"/>
        <v>1674.73</v>
      </c>
      <c r="Q251" s="168">
        <f t="shared" si="6"/>
        <v>1</v>
      </c>
      <c r="R251" s="174">
        <f t="shared" si="7"/>
        <v>0</v>
      </c>
      <c r="S251" s="174">
        <f>((Inertia!$M$49/2+Inertia!$L$49)*9.81+IF(Inertia!$F$56&lt;=V251,Inertia!$F$55,0))</f>
        <v>0</v>
      </c>
      <c r="T251" s="174">
        <f>Inertia!$N$49*9.81+IF(Inertia!$F$56&lt;=V251,Inertia!$F$55,0)</f>
        <v>0</v>
      </c>
      <c r="U251" s="174">
        <f>Inertia!$F$57*Inertia!$F$58/1000+Inertia!$F$59+IF(Inertia!$F$56&gt;V251,Inertia!$F$55,0)*Inertia!$F$56/1000</f>
        <v>0</v>
      </c>
      <c r="V251" s="168">
        <v>0</v>
      </c>
      <c r="W251" s="168">
        <f ca="1">IF(AND(G251&gt;=F251,SUM($W$246:W250)=0),1,0)</f>
        <v>0</v>
      </c>
      <c r="X251" s="175" t="str">
        <f ca="1">IF(W251=0,"",0.006)</f>
        <v/>
      </c>
      <c r="Y251" s="176" t="str">
        <f t="shared" ca="1" si="8"/>
        <v/>
      </c>
      <c r="Z251" s="177" t="str">
        <f t="shared" ca="1" si="11"/>
        <v/>
      </c>
      <c r="AA251" s="169">
        <f ca="1">999*W251</f>
        <v>0</v>
      </c>
      <c r="AB251" s="178"/>
      <c r="AC251" s="169"/>
      <c r="AD251" s="179"/>
      <c r="AE251" s="164" t="str">
        <f ca="1">IF(F251&lt;G251,F251/G251*$C$260*VLOOKUP(Inertia!$D$38,$A$270:$E$277,5,FALSE),"")</f>
        <v/>
      </c>
      <c r="AF251" s="421" t="s">
        <v>345</v>
      </c>
      <c r="AG251" s="422"/>
      <c r="AH251" s="422"/>
      <c r="AI251" s="180"/>
      <c r="AJ251" s="150"/>
      <c r="AK251" s="181"/>
      <c r="AL251" s="150"/>
      <c r="AM251" s="150"/>
    </row>
    <row r="252" spans="1:40" ht="14" customHeight="1">
      <c r="B252" s="151"/>
      <c r="C252" s="152"/>
      <c r="D252" s="152"/>
      <c r="E252" s="153">
        <v>6</v>
      </c>
      <c r="F252" s="154">
        <f>Inertia!$N$50</f>
        <v>0</v>
      </c>
      <c r="G252" s="154">
        <f t="shared" ca="1" si="4"/>
        <v>3.5181818181818181</v>
      </c>
      <c r="H252" s="154" t="str">
        <f ca="1">INDIRECT(ADDRESS($C$246+$E252,2,4))&amp;LEFT(Inertia!$D$39,1)&amp;Inertia!$D$38&amp;IF(Inertia!$D$40=50,"E","U")</f>
        <v>TRP 80C4E</v>
      </c>
      <c r="I252" s="152">
        <f t="shared" ca="1" si="9"/>
        <v>40</v>
      </c>
      <c r="J252" s="154">
        <f ca="1">Inertia!$F$49/I252</f>
        <v>0</v>
      </c>
      <c r="K252" s="155">
        <f t="shared" ca="1" si="12"/>
        <v>1.1000000000000001</v>
      </c>
      <c r="L252" s="156">
        <v>17405</v>
      </c>
      <c r="M252" s="156">
        <v>8586</v>
      </c>
      <c r="N252" s="152">
        <v>500</v>
      </c>
      <c r="O252" s="157">
        <f>((-N252/L252*S252+N252)-R252)</f>
        <v>500</v>
      </c>
      <c r="P252" s="157">
        <f>(-N252/L252*T252+N252)-U252</f>
        <v>500</v>
      </c>
      <c r="Q252" s="183">
        <f t="shared" si="6"/>
        <v>1</v>
      </c>
      <c r="R252" s="158">
        <f>$C$253+U252</f>
        <v>0</v>
      </c>
      <c r="S252" s="158">
        <f>((Inertia!$M$49/2+Inertia!$L$49)*9.81+IF(Inertia!$F$56&lt;=V252,Inertia!$F$55,0))</f>
        <v>0</v>
      </c>
      <c r="T252" s="158">
        <f>Inertia!$N$49*9.81+IF(Inertia!$F$56&lt;=V252,Inertia!$F$55,0)</f>
        <v>0</v>
      </c>
      <c r="U252" s="158">
        <f>Inertia!$F$57*Inertia!$F$58/1000+Inertia!$F$59+IF(Inertia!$F$56&gt;V252,Inertia!$F$55,0)*Inertia!$F$56/1000</f>
        <v>0</v>
      </c>
      <c r="V252" s="152">
        <v>52.5</v>
      </c>
      <c r="W252" s="153">
        <f ca="1">IF(G252&gt;=F252,1,0)</f>
        <v>1</v>
      </c>
      <c r="X252" s="159">
        <f ca="1">IF(W252=0,"",0.029)</f>
        <v>2.9000000000000001E-2</v>
      </c>
      <c r="Y252" s="160" t="str">
        <f t="shared" ca="1" si="8"/>
        <v>TRP 80C4E</v>
      </c>
      <c r="Z252" s="161">
        <f t="shared" ca="1" si="11"/>
        <v>0</v>
      </c>
      <c r="AA252" s="154">
        <f ca="1">W252*4</f>
        <v>4</v>
      </c>
      <c r="AB252" s="162"/>
      <c r="AC252" s="154"/>
      <c r="AD252" s="163"/>
      <c r="AE252" s="184">
        <f ca="1">IF(F252&lt;G252,F252/G252*$C$260*VLOOKUP(Inertia!$D$38,$A$270:$E$277,5,FALSE),"")</f>
        <v>0</v>
      </c>
      <c r="AF252" s="154">
        <f ca="1">AC248*IF(VALUE(LEFT(Inertia!D66,1))=0,10000,1)*Inertia!F41</f>
        <v>1</v>
      </c>
      <c r="AG252" s="185" t="str">
        <f ca="1">AB248</f>
        <v>ITP 75C4E</v>
      </c>
      <c r="AH252" s="164" t="str">
        <f ca="1">AD248</f>
        <v>0,031</v>
      </c>
      <c r="AI252" s="186" t="s">
        <v>340</v>
      </c>
      <c r="AJ252" s="187" t="s">
        <v>332</v>
      </c>
      <c r="AK252" s="188" t="s">
        <v>270</v>
      </c>
      <c r="AL252" s="187" t="s">
        <v>331</v>
      </c>
      <c r="AM252" s="181" t="s">
        <v>344</v>
      </c>
      <c r="AN252" s="189" t="s">
        <v>444</v>
      </c>
    </row>
    <row r="253" spans="1:40" ht="14" customHeight="1">
      <c r="B253" s="151" t="s">
        <v>312</v>
      </c>
      <c r="C253" s="158">
        <f>(VLOOKUP(Inertia!D38,Selection!A270:B277,2,FALSE)+C257)</f>
        <v>0</v>
      </c>
      <c r="D253" s="152" t="s">
        <v>43</v>
      </c>
      <c r="E253" s="153">
        <v>7</v>
      </c>
      <c r="F253" s="154">
        <f>Inertia!$N$50</f>
        <v>0</v>
      </c>
      <c r="G253" s="154">
        <f t="shared" ca="1" si="4"/>
        <v>7.9545454545454541</v>
      </c>
      <c r="H253" s="154" t="str">
        <f ca="1">INDIRECT(ADDRESS($C$246+$E253,2,4))&amp;LEFT(Inertia!$D$39,1)&amp;Inertia!$D$38&amp;IF(Inertia!$D$40=50,"E","U")</f>
        <v>TRP 110C4E</v>
      </c>
      <c r="I253" s="152">
        <f t="shared" ca="1" si="9"/>
        <v>55</v>
      </c>
      <c r="J253" s="154">
        <f ca="1">Inertia!$F$49/I253</f>
        <v>0</v>
      </c>
      <c r="K253" s="155">
        <f t="shared" ca="1" si="12"/>
        <v>1.1000000000000001</v>
      </c>
      <c r="L253" s="156">
        <v>23191</v>
      </c>
      <c r="M253" s="156">
        <v>11595</v>
      </c>
      <c r="N253" s="152">
        <v>923</v>
      </c>
      <c r="O253" s="157">
        <f t="shared" ref="O253:O257" si="13">((-N253/L253*S253+N253)-R253)</f>
        <v>923</v>
      </c>
      <c r="P253" s="157">
        <f t="shared" ref="P253:P258" si="14">(-N253/L253*T253+N253)-U253</f>
        <v>923</v>
      </c>
      <c r="Q253" s="183">
        <f t="shared" si="6"/>
        <v>1</v>
      </c>
      <c r="R253" s="158">
        <f t="shared" ref="R253:R258" si="15">$C$253+U253</f>
        <v>0</v>
      </c>
      <c r="S253" s="158">
        <f>((Inertia!$M$49/2+Inertia!$L$49)*9.81+IF(Inertia!$F$56&lt;=V253,Inertia!$F$55,0))</f>
        <v>0</v>
      </c>
      <c r="T253" s="158">
        <f>Inertia!$N$49*9.81+IF(Inertia!$F$56&lt;=V253,Inertia!$F$55,0)</f>
        <v>0</v>
      </c>
      <c r="U253" s="158">
        <f>Inertia!$F$57*Inertia!$F$58/1000+Inertia!$F$59+IF(Inertia!$F$56&gt;V253,Inertia!$F$55,0)*Inertia!$F$56/1000</f>
        <v>0</v>
      </c>
      <c r="V253" s="152">
        <v>70</v>
      </c>
      <c r="W253" s="153">
        <f ca="1">IF(AND(G253&gt;=F253,SUM($W$252:W252)=0),1,0)</f>
        <v>0</v>
      </c>
      <c r="X253" s="159" t="str">
        <f ca="1">IF(W253=0,"",0.021)</f>
        <v/>
      </c>
      <c r="Y253" s="160" t="str">
        <f t="shared" ca="1" si="8"/>
        <v/>
      </c>
      <c r="Z253" s="161" t="str">
        <f t="shared" ca="1" si="11"/>
        <v/>
      </c>
      <c r="AA253" s="154">
        <f ca="1">W253*6</f>
        <v>0</v>
      </c>
      <c r="AB253" s="162"/>
      <c r="AC253" s="154"/>
      <c r="AD253" s="163"/>
      <c r="AE253" s="191">
        <f ca="1">IF(F253&lt;G253,F253/G253*$C$260*VLOOKUP(Inertia!$D$38,$A$270:$E$277,5,FALSE),"")</f>
        <v>0</v>
      </c>
      <c r="AF253" s="154">
        <f ca="1">AC255*IF(VALUE(MID(Inertia!D66,2,1))=0,10000,1*Inertia!F41)</f>
        <v>4</v>
      </c>
      <c r="AG253" s="185" t="str">
        <f ca="1">AB255</f>
        <v>TRP 80C4E</v>
      </c>
      <c r="AH253" s="164" t="str">
        <f ca="1">AD255</f>
        <v>0,029</v>
      </c>
      <c r="AI253" s="192">
        <f ca="1">MIN(AF252:AF254)</f>
        <v>1</v>
      </c>
      <c r="AJ253" s="193" t="str">
        <f ca="1">VLOOKUP($AI$253,$AF$252:$AH$254,2,FALSE)</f>
        <v>ITP 75C4E</v>
      </c>
      <c r="AK253" s="193" t="str">
        <f ca="1">"± "&amp;VLOOKUP($AI$253,$AF$252:$AH$254,3,FALSE)</f>
        <v>± 0,031</v>
      </c>
      <c r="AL253" s="194">
        <f ca="1">IF(ISERROR(VLOOKUP(AJ253,H246:AE267,24,FALSE)),"",VLOOKUP(AJ253,H246:AE267,24,FALSE))*1</f>
        <v>0</v>
      </c>
      <c r="AM253" s="195">
        <f ca="1">VLOOKUP(AJ253,H246:AE267,19,FALSE)</f>
        <v>0</v>
      </c>
      <c r="AN253" s="196">
        <f ca="1">IF(LEFT(AJ253,3)="TRW",VLOOKUP(AJ253,H259:AF267,25,FALSE)*50/Inertia!D40,60/(1400/Inertia!F39*Inertia!D40/50))</f>
        <v>1.2</v>
      </c>
    </row>
    <row r="254" spans="1:40" ht="14" customHeight="1">
      <c r="B254" s="151" t="s">
        <v>313</v>
      </c>
      <c r="C254" s="158">
        <f>((Inertia!M49/2+Inertia!L49)*9.81+IF(Inertia!F56=0,Inertia!F55,0))</f>
        <v>0</v>
      </c>
      <c r="D254" s="152" t="s">
        <v>8</v>
      </c>
      <c r="E254" s="153">
        <v>8</v>
      </c>
      <c r="F254" s="154">
        <f>Inertia!$N$50</f>
        <v>0</v>
      </c>
      <c r="G254" s="154">
        <f t="shared" ca="1" si="4"/>
        <v>14.772727272727272</v>
      </c>
      <c r="H254" s="154" t="str">
        <f ca="1">INDIRECT(ADDRESS($C$246+$E254,2,4))&amp;LEFT(Inertia!$D$39,1)&amp;Inertia!$D$38&amp;IF(Inertia!$D$40=50,"E","U")</f>
        <v>TRP 160C4E</v>
      </c>
      <c r="I254" s="152">
        <f t="shared" ca="1" si="9"/>
        <v>80</v>
      </c>
      <c r="J254" s="154">
        <f ca="1">Inertia!$F$49/I254</f>
        <v>0</v>
      </c>
      <c r="K254" s="155">
        <f t="shared" ca="1" si="12"/>
        <v>1.1000000000000001</v>
      </c>
      <c r="L254" s="156">
        <v>43661</v>
      </c>
      <c r="M254" s="156">
        <v>21830</v>
      </c>
      <c r="N254" s="152">
        <v>2615</v>
      </c>
      <c r="O254" s="157">
        <f t="shared" si="13"/>
        <v>2615</v>
      </c>
      <c r="P254" s="157">
        <f t="shared" si="14"/>
        <v>2615</v>
      </c>
      <c r="Q254" s="183">
        <f t="shared" si="6"/>
        <v>1</v>
      </c>
      <c r="R254" s="158">
        <f t="shared" si="15"/>
        <v>0</v>
      </c>
      <c r="S254" s="158">
        <f>((Inertia!$M$49/2+Inertia!$L$49)*9.81+IF(Inertia!$F$56&lt;=V254,Inertia!$F$55,0))</f>
        <v>0</v>
      </c>
      <c r="T254" s="158">
        <f>Inertia!$N$49*9.81+IF(Inertia!$F$56&lt;=V254,Inertia!$F$55,0)</f>
        <v>0</v>
      </c>
      <c r="U254" s="158">
        <f>Inertia!$F$57*Inertia!$F$58/1000+Inertia!$F$59+IF(Inertia!$F$56&gt;V254,Inertia!$F$55,0)*Inertia!$F$56/1000</f>
        <v>0</v>
      </c>
      <c r="V254" s="152">
        <v>94</v>
      </c>
      <c r="W254" s="153">
        <f ca="1">IF(AND(G254&gt;=F254,SUM($W$252:W253)=0),1,0)</f>
        <v>0</v>
      </c>
      <c r="X254" s="159" t="str">
        <f ca="1">IF(W254=0,"",0.015)</f>
        <v/>
      </c>
      <c r="Y254" s="160" t="str">
        <f t="shared" ca="1" si="8"/>
        <v/>
      </c>
      <c r="Z254" s="161" t="str">
        <f t="shared" ca="1" si="11"/>
        <v/>
      </c>
      <c r="AA254" s="154">
        <f ca="1">W254*8</f>
        <v>0</v>
      </c>
      <c r="AB254" s="162"/>
      <c r="AC254" s="154"/>
      <c r="AD254" s="163"/>
      <c r="AE254" s="191">
        <f ca="1">IF(F254&lt;G254,F254/G254*$C$260*VLOOKUP(Inertia!$D$38,$A$270:$E$277,5,FALSE),"")</f>
        <v>0</v>
      </c>
      <c r="AF254" s="154">
        <f ca="1">AC263*IF(VALUE(MID(Inertia!D66,3,1))=0,10000,1)</f>
        <v>6.5</v>
      </c>
      <c r="AG254" s="185" t="str">
        <f ca="1">AB263</f>
        <v>TRW 110C4E</v>
      </c>
      <c r="AH254" s="164" t="str">
        <f ca="1">AD263</f>
        <v>0,021</v>
      </c>
      <c r="AI254" s="197"/>
      <c r="AJ254" s="198"/>
      <c r="AK254" s="198"/>
      <c r="AL254" s="198"/>
      <c r="AM254" s="199"/>
    </row>
    <row r="255" spans="1:40" ht="14" customHeight="1">
      <c r="B255" s="151"/>
      <c r="C255" s="153"/>
      <c r="D255" s="152"/>
      <c r="E255" s="153">
        <v>9</v>
      </c>
      <c r="F255" s="154">
        <f>Inertia!$N$50</f>
        <v>0</v>
      </c>
      <c r="G255" s="154">
        <f t="shared" ca="1" si="4"/>
        <v>27.118181818181814</v>
      </c>
      <c r="H255" s="154" t="str">
        <f ca="1">INDIRECT(ADDRESS($C$246+$E255,2,4))&amp;LEFT(Inertia!$D$39,1)&amp;Inertia!$D$38&amp;IF(Inertia!$D$40=50,"E","U")</f>
        <v>TRP 210C4E</v>
      </c>
      <c r="I255" s="152">
        <f t="shared" ca="1" si="9"/>
        <v>105</v>
      </c>
      <c r="J255" s="154">
        <f ca="1">Inertia!$F$49/I255</f>
        <v>0</v>
      </c>
      <c r="K255" s="155">
        <f t="shared" ca="1" si="12"/>
        <v>1.1000000000000001</v>
      </c>
      <c r="L255" s="156">
        <v>56760</v>
      </c>
      <c r="M255" s="156">
        <v>28380</v>
      </c>
      <c r="N255" s="152">
        <v>4328</v>
      </c>
      <c r="O255" s="157">
        <f t="shared" si="13"/>
        <v>4328</v>
      </c>
      <c r="P255" s="157">
        <f t="shared" si="14"/>
        <v>4328</v>
      </c>
      <c r="Q255" s="183">
        <f t="shared" si="6"/>
        <v>1</v>
      </c>
      <c r="R255" s="158">
        <f t="shared" si="15"/>
        <v>0</v>
      </c>
      <c r="S255" s="158">
        <f>((Inertia!$M$49/2+Inertia!$L$49)*9.81+IF(Inertia!$F$56&lt;=V255,Inertia!$F$55,0))</f>
        <v>0</v>
      </c>
      <c r="T255" s="158">
        <f>Inertia!$N$49*9.81+IF(Inertia!$F$56&lt;=V255,Inertia!$F$55,0)</f>
        <v>0</v>
      </c>
      <c r="U255" s="158">
        <f>Inertia!$F$57*Inertia!$F$58/1000+Inertia!$F$59+IF(Inertia!$F$56&gt;V255,Inertia!$F$55,0)*Inertia!$F$56/1000</f>
        <v>0</v>
      </c>
      <c r="V255" s="152">
        <v>125</v>
      </c>
      <c r="W255" s="153">
        <f ca="1">IF(AND(G255&gt;=F255,SUM($W$252:W254)=0),1,0)</f>
        <v>0</v>
      </c>
      <c r="X255" s="159" t="str">
        <f ca="1">IF(W255=0,"",0.011)</f>
        <v/>
      </c>
      <c r="Y255" s="160" t="str">
        <f t="shared" ca="1" si="8"/>
        <v/>
      </c>
      <c r="Z255" s="161" t="str">
        <f t="shared" ca="1" si="11"/>
        <v/>
      </c>
      <c r="AA255" s="154">
        <f ca="1">W255*10</f>
        <v>0</v>
      </c>
      <c r="AB255" s="165" t="str">
        <f ca="1">Y252&amp;Y253&amp;Y254&amp;Y255&amp;Y256&amp;Y257&amp;Y258</f>
        <v>TRP 80C4E</v>
      </c>
      <c r="AC255" s="154">
        <f ca="1">IF(SUM(AA252:AA258)=0,1000,SUM(AA252:AA258))</f>
        <v>4</v>
      </c>
      <c r="AD255" s="166" t="str">
        <f ca="1">X252&amp;X253&amp;X254&amp;X255&amp;X256&amp;X257&amp;X258</f>
        <v>0,029</v>
      </c>
      <c r="AE255" s="191">
        <f ca="1">IF(F255&lt;G255,F255/G255*$C$260*VLOOKUP(Inertia!$D$38,$A$270:$E$277,5,FALSE),"")</f>
        <v>0</v>
      </c>
      <c r="AF255" s="169"/>
      <c r="AG255" s="200"/>
      <c r="AH255" s="201"/>
      <c r="AI255" s="164"/>
    </row>
    <row r="256" spans="1:40" ht="14" customHeight="1">
      <c r="B256" s="151" t="s">
        <v>417</v>
      </c>
      <c r="C256" s="158">
        <f>Inertia!N49*9.81+IF(Inertia!F56=0,Inertia!F55,0)</f>
        <v>0</v>
      </c>
      <c r="D256" s="154" t="s">
        <v>8</v>
      </c>
      <c r="E256" s="153">
        <v>10</v>
      </c>
      <c r="F256" s="154">
        <f>Inertia!$N$50</f>
        <v>0</v>
      </c>
      <c r="G256" s="154">
        <f t="shared" ca="1" si="4"/>
        <v>104.88181818181818</v>
      </c>
      <c r="H256" s="154" t="str">
        <f ca="1">INDIRECT(ADDRESS($C$246+$E256,2,4))&amp;LEFT(Inertia!$D$39,1)&amp;Inertia!$D$38&amp;IF(Inertia!$D$40=50,"E","U")</f>
        <v>TRP 315C4E</v>
      </c>
      <c r="I256" s="152">
        <f t="shared" ca="1" si="9"/>
        <v>157.5</v>
      </c>
      <c r="J256" s="154">
        <f ca="1">Inertia!$F$49/I256</f>
        <v>0</v>
      </c>
      <c r="K256" s="155">
        <f t="shared" ca="1" si="12"/>
        <v>1.1000000000000001</v>
      </c>
      <c r="L256" s="156">
        <v>56695</v>
      </c>
      <c r="M256" s="156">
        <v>28347</v>
      </c>
      <c r="N256" s="152">
        <v>3345</v>
      </c>
      <c r="O256" s="157">
        <f t="shared" si="13"/>
        <v>3345</v>
      </c>
      <c r="P256" s="157">
        <f t="shared" si="14"/>
        <v>3345</v>
      </c>
      <c r="Q256" s="183">
        <f t="shared" si="6"/>
        <v>1</v>
      </c>
      <c r="R256" s="158">
        <f t="shared" si="15"/>
        <v>0</v>
      </c>
      <c r="S256" s="158">
        <f>((Inertia!$M$49/2+Inertia!$L$49)*9.81+IF(Inertia!$F$56&lt;=V256,Inertia!$F$55,0))</f>
        <v>0</v>
      </c>
      <c r="T256" s="158">
        <f>Inertia!$N$49*9.81+IF(Inertia!$F$56&lt;=V256,Inertia!$F$55,0)</f>
        <v>0</v>
      </c>
      <c r="U256" s="158">
        <f>Inertia!$F$57*Inertia!$F$58/1000+Inertia!$F$59+IF(Inertia!$F$56&gt;V256,Inertia!$F$55,0)*Inertia!$F$56/1000</f>
        <v>0</v>
      </c>
      <c r="V256" s="152">
        <v>94</v>
      </c>
      <c r="W256" s="153">
        <f ca="1">IF(AND(G256&gt;=F256,SUM($W$252:W255)=0),1,0)</f>
        <v>0</v>
      </c>
      <c r="X256" s="159" t="str">
        <f ca="1">IF(W256=0,"",0.008)</f>
        <v/>
      </c>
      <c r="Y256" s="160" t="str">
        <f t="shared" ca="1" si="8"/>
        <v/>
      </c>
      <c r="Z256" s="161" t="str">
        <f t="shared" ca="1" si="11"/>
        <v/>
      </c>
      <c r="AA256" s="154">
        <f ca="1">W256*14</f>
        <v>0</v>
      </c>
      <c r="AB256" s="162"/>
      <c r="AC256" s="154"/>
      <c r="AD256" s="163"/>
      <c r="AE256" s="191">
        <f ca="1">IF(F256&lt;G256,F256/G256*$C$260*VLOOKUP(Inertia!$D$38,$A$270:$E$277,5,FALSE),"")</f>
        <v>0</v>
      </c>
      <c r="AF256" s="164"/>
      <c r="AG256" s="164"/>
      <c r="AH256" s="164"/>
      <c r="AI256" s="164"/>
    </row>
    <row r="257" spans="1:38" ht="14" customHeight="1">
      <c r="B257" s="151" t="s">
        <v>418</v>
      </c>
      <c r="C257" s="158">
        <f>Inertia!F57*Inertia!F58/1000+Inertia!F59+Inertia!F55*Inertia!F56/1000</f>
        <v>0</v>
      </c>
      <c r="D257" s="154" t="s">
        <v>43</v>
      </c>
      <c r="E257" s="153">
        <v>11</v>
      </c>
      <c r="F257" s="154">
        <f>Inertia!$N$50</f>
        <v>0</v>
      </c>
      <c r="G257" s="154">
        <f t="shared" ca="1" si="4"/>
        <v>147.29999999999998</v>
      </c>
      <c r="H257" s="154" t="str">
        <f ca="1">INDIRECT(ADDRESS($C$246+$E257,2,4))&amp;LEFT(Inertia!$D$39,1)&amp;Inertia!$D$38&amp;IF(Inertia!$D$40=50,"E","U")</f>
        <v>TRP 400C4E</v>
      </c>
      <c r="I257" s="152">
        <f t="shared" ca="1" si="9"/>
        <v>200</v>
      </c>
      <c r="J257" s="154">
        <f ca="1">Inertia!$F$49/I257</f>
        <v>0</v>
      </c>
      <c r="K257" s="155">
        <f t="shared" ca="1" si="12"/>
        <v>1.1000000000000001</v>
      </c>
      <c r="L257" s="156">
        <v>88904</v>
      </c>
      <c r="M257" s="156">
        <v>44452</v>
      </c>
      <c r="N257" s="152">
        <v>6761</v>
      </c>
      <c r="O257" s="157">
        <f t="shared" si="13"/>
        <v>6761</v>
      </c>
      <c r="P257" s="157">
        <f t="shared" si="14"/>
        <v>6761</v>
      </c>
      <c r="Q257" s="183">
        <f t="shared" si="6"/>
        <v>1</v>
      </c>
      <c r="R257" s="158">
        <f t="shared" si="15"/>
        <v>0</v>
      </c>
      <c r="S257" s="158">
        <f>((Inertia!$M$49/2+Inertia!$L$49)*9.81+IF(Inertia!$F$56&lt;=V257,Inertia!$F$55,0))</f>
        <v>0</v>
      </c>
      <c r="T257" s="158">
        <f>Inertia!$N$49*9.81+IF(Inertia!$F$56&lt;=V257,Inertia!$F$55,0)</f>
        <v>0</v>
      </c>
      <c r="U257" s="158">
        <f>Inertia!$F$57*Inertia!$F$58/1000+Inertia!$F$59+IF(Inertia!$F$56&gt;V257,Inertia!$F$55,0)*Inertia!$F$56/1000</f>
        <v>0</v>
      </c>
      <c r="V257" s="152">
        <v>125</v>
      </c>
      <c r="W257" s="153">
        <f ca="1">IF(AND(G257&gt;=F257,SUM($W$252:W256)=0),1,0)</f>
        <v>0</v>
      </c>
      <c r="X257" s="159" t="str">
        <f ca="1">IF(W257=0,"",0.006)</f>
        <v/>
      </c>
      <c r="Y257" s="160" t="str">
        <f t="shared" ca="1" si="8"/>
        <v/>
      </c>
      <c r="Z257" s="161" t="str">
        <f t="shared" ca="1" si="11"/>
        <v/>
      </c>
      <c r="AA257" s="154">
        <f ca="1">W257*16</f>
        <v>0</v>
      </c>
      <c r="AB257" s="162"/>
      <c r="AC257" s="154"/>
      <c r="AD257" s="163"/>
      <c r="AE257" s="191">
        <f ca="1">IF(F257&lt;G257,F257/G257*$C$260*VLOOKUP(Inertia!$D$38,$A$270:$E$277,5,FALSE),"")</f>
        <v>0</v>
      </c>
      <c r="AF257" s="164"/>
      <c r="AG257" s="164"/>
      <c r="AH257" s="164"/>
      <c r="AI257" s="164"/>
    </row>
    <row r="258" spans="1:38" ht="14" customHeight="1">
      <c r="B258" s="151"/>
      <c r="C258" s="152"/>
      <c r="D258" s="152"/>
      <c r="E258" s="168">
        <v>12</v>
      </c>
      <c r="F258" s="169">
        <f>Inertia!$N$50</f>
        <v>0</v>
      </c>
      <c r="G258" s="169">
        <f t="shared" ca="1" si="4"/>
        <v>232.98181818181814</v>
      </c>
      <c r="H258" s="169" t="str">
        <f ca="1">INDIRECT(ADDRESS($C$246+$E258,2,4))&amp;LEFT(Inertia!$D$39,1)&amp;Inertia!$D$38&amp;IF(Inertia!$D$40=50,"E","U")</f>
        <v>TRP 470C4E</v>
      </c>
      <c r="I258" s="170">
        <f t="shared" ca="1" si="9"/>
        <v>235</v>
      </c>
      <c r="J258" s="169">
        <f ca="1">Inertia!$F$49/I258</f>
        <v>0</v>
      </c>
      <c r="K258" s="171">
        <f t="shared" ca="1" si="12"/>
        <v>1.1000000000000001</v>
      </c>
      <c r="L258" s="172">
        <v>88904</v>
      </c>
      <c r="M258" s="172">
        <v>44452</v>
      </c>
      <c r="N258" s="170">
        <v>6761</v>
      </c>
      <c r="O258" s="173">
        <f>((-N258/L258*S258+N258)-R258)</f>
        <v>6761</v>
      </c>
      <c r="P258" s="173">
        <f t="shared" si="14"/>
        <v>6761</v>
      </c>
      <c r="Q258" s="168">
        <f t="shared" si="6"/>
        <v>1</v>
      </c>
      <c r="R258" s="174">
        <f t="shared" si="15"/>
        <v>0</v>
      </c>
      <c r="S258" s="174">
        <f>((Inertia!$M$49/2+Inertia!$L$49)*9.81+IF(Inertia!$F$56&lt;=V258,Inertia!$F$55,0))</f>
        <v>0</v>
      </c>
      <c r="T258" s="174">
        <f>Inertia!$N$49*9.81+IF(Inertia!$F$56&lt;=V258,Inertia!$F$55,0)</f>
        <v>0</v>
      </c>
      <c r="U258" s="174">
        <f>Inertia!$F$57*Inertia!$F$58/1000+Inertia!$F$59+IF(Inertia!$F$56&gt;V258,Inertia!$F$55,0)*Inertia!$F$56/1000</f>
        <v>0</v>
      </c>
      <c r="V258" s="170">
        <v>125</v>
      </c>
      <c r="W258" s="168">
        <f ca="1">IF(AND(G258&gt;=F258,SUM($W$252:W257)=0),1,0)</f>
        <v>0</v>
      </c>
      <c r="X258" s="175" t="str">
        <f ca="1">IF(W258=0,"",0.005)</f>
        <v/>
      </c>
      <c r="Y258" s="176" t="str">
        <f t="shared" ca="1" si="8"/>
        <v/>
      </c>
      <c r="Z258" s="177" t="str">
        <f t="shared" ca="1" si="11"/>
        <v/>
      </c>
      <c r="AA258" s="169">
        <f ca="1">W258*18</f>
        <v>0</v>
      </c>
      <c r="AB258" s="178"/>
      <c r="AC258" s="169"/>
      <c r="AD258" s="179"/>
      <c r="AE258" s="201">
        <f ca="1">IF(F258&lt;G258,F258/G258*$C$260*VLOOKUP(Inertia!$D$38,$A$270:$E$277,5,FALSE),"")</f>
        <v>0</v>
      </c>
      <c r="AF258" s="202" t="s">
        <v>434</v>
      </c>
      <c r="AG258" s="164"/>
      <c r="AH258" s="164"/>
      <c r="AI258" s="191"/>
      <c r="AJ258" s="199"/>
      <c r="AK258" s="199"/>
      <c r="AL258" s="199"/>
    </row>
    <row r="259" spans="1:38" ht="14" customHeight="1">
      <c r="B259" s="144" t="s">
        <v>314</v>
      </c>
      <c r="C259" s="221">
        <f ca="1">Inertia!I39</f>
        <v>1.2</v>
      </c>
      <c r="D259" s="152" t="s">
        <v>295</v>
      </c>
      <c r="E259" s="183">
        <v>13</v>
      </c>
      <c r="F259" s="182">
        <f>Inertia!$N$50</f>
        <v>0</v>
      </c>
      <c r="G259" s="182">
        <f t="shared" ca="1" si="4"/>
        <v>10.299999999999999</v>
      </c>
      <c r="H259" s="182" t="str">
        <f ca="1">INDIRECT(ADDRESS($C$246+$E259,2,4))&amp;LEFT(Inertia!$D$39,1)&amp;Inertia!$D$38&amp;IF(Inertia!$D$40=50,"E","U")</f>
        <v>TRW 110C4E</v>
      </c>
      <c r="I259" s="203">
        <f t="shared" ca="1" si="9"/>
        <v>55</v>
      </c>
      <c r="J259" s="154">
        <f ca="1">Inertia!$F$49/I259</f>
        <v>0</v>
      </c>
      <c r="K259" s="204">
        <f t="shared" ca="1" si="12"/>
        <v>1.1000000000000001</v>
      </c>
      <c r="L259" s="156">
        <f>L253</f>
        <v>23191</v>
      </c>
      <c r="M259" s="156">
        <f t="shared" ref="M259:N259" si="16">M253</f>
        <v>11595</v>
      </c>
      <c r="N259" s="156">
        <f t="shared" si="16"/>
        <v>923</v>
      </c>
      <c r="O259" s="205">
        <f t="shared" ref="O259:O262" si="17">((-N259/L259*S259+N259)-R259)</f>
        <v>923</v>
      </c>
      <c r="P259" s="205">
        <f t="shared" ref="P259:P262" si="18">(-N259/L259*T259+N259)-U259</f>
        <v>923</v>
      </c>
      <c r="Q259" s="206">
        <f t="shared" ref="Q259:Q262" si="19">IF(AND(O259&gt;0,P259&gt;0),1,10000)</f>
        <v>1</v>
      </c>
      <c r="R259" s="207">
        <f t="shared" ref="R259:R262" si="20">$C$253+U259</f>
        <v>0</v>
      </c>
      <c r="S259" s="207">
        <f>((Inertia!$M$49/2+Inertia!$L$49)*9.81+IF(Inertia!$F$56&lt;=V259,Inertia!$F$55,0))</f>
        <v>0</v>
      </c>
      <c r="T259" s="207">
        <f>Inertia!$N$49*9.81+IF(Inertia!$F$56&lt;=V259,Inertia!$F$55,0)</f>
        <v>0</v>
      </c>
      <c r="U259" s="207">
        <f>Inertia!$F$57*Inertia!$F$58/1000+Inertia!$F$59+IF(Inertia!$F$56&gt;V259,Inertia!$F$55,0)*Inertia!$F$56/1000</f>
        <v>0</v>
      </c>
      <c r="V259" s="152">
        <v>125</v>
      </c>
      <c r="W259" s="183">
        <f ca="1">IF(G259&gt;=F259,1,0)</f>
        <v>1</v>
      </c>
      <c r="X259" s="159">
        <f ca="1">IF(W259=0,"",0.021)</f>
        <v>2.1000000000000001E-2</v>
      </c>
      <c r="Y259" s="215" t="str">
        <f t="shared" ca="1" si="8"/>
        <v>TRW 110C4E</v>
      </c>
      <c r="Z259" s="208">
        <f t="shared" ca="1" si="11"/>
        <v>0</v>
      </c>
      <c r="AA259" s="182">
        <f ca="1">W259*6.5</f>
        <v>6.5</v>
      </c>
      <c r="AB259" s="209"/>
      <c r="AC259" s="190"/>
      <c r="AD259" s="210"/>
      <c r="AE259" s="164">
        <f ca="1">IF(F259&lt;G259,F259/G259*$C$260*VLOOKUP(Inertia!$D$38,$A$270:$E$277,5,FALSE),"")</f>
        <v>0</v>
      </c>
      <c r="AF259" s="190">
        <f>CHOOSE(CODE(Inertia!$D$39)-CODE("A")+1,0.68,0.94,1.15,1.76,1.94,0,0,0,0,0,0)</f>
        <v>1.1499999999999999</v>
      </c>
      <c r="AG259" s="191"/>
      <c r="AH259" s="191"/>
      <c r="AI259" s="191"/>
    </row>
    <row r="260" spans="1:38" ht="14" customHeight="1">
      <c r="B260" s="144" t="s">
        <v>315</v>
      </c>
      <c r="C260" s="221">
        <f ca="1">Inertia!I40</f>
        <v>1</v>
      </c>
      <c r="D260" s="152" t="s">
        <v>295</v>
      </c>
      <c r="E260" s="183">
        <v>14</v>
      </c>
      <c r="F260" s="190">
        <f>Inertia!$N$50</f>
        <v>0</v>
      </c>
      <c r="G260" s="190">
        <f t="shared" ca="1" si="4"/>
        <v>16.190909090909088</v>
      </c>
      <c r="H260" s="190" t="str">
        <f ca="1">INDIRECT(ADDRESS($C$246+$E260,2,4))&amp;LEFT(Inertia!$D$39,1)&amp;Inertia!$D$38&amp;IF(Inertia!$D$40=50,"E","U")</f>
        <v>TRW 160C4E</v>
      </c>
      <c r="I260" s="211">
        <f t="shared" ca="1" si="9"/>
        <v>80</v>
      </c>
      <c r="J260" s="154">
        <f ca="1">Inertia!$F$49/I260</f>
        <v>0</v>
      </c>
      <c r="K260" s="212">
        <f t="shared" ca="1" si="12"/>
        <v>1.1000000000000001</v>
      </c>
      <c r="L260" s="156">
        <f t="shared" ref="L260:N260" si="21">L254</f>
        <v>43661</v>
      </c>
      <c r="M260" s="156">
        <f t="shared" si="21"/>
        <v>21830</v>
      </c>
      <c r="N260" s="156">
        <f t="shared" si="21"/>
        <v>2615</v>
      </c>
      <c r="O260" s="213">
        <f t="shared" si="17"/>
        <v>2615</v>
      </c>
      <c r="P260" s="213">
        <f t="shared" si="18"/>
        <v>2615</v>
      </c>
      <c r="Q260" s="183">
        <f t="shared" si="19"/>
        <v>1</v>
      </c>
      <c r="R260" s="214">
        <f t="shared" si="20"/>
        <v>0</v>
      </c>
      <c r="S260" s="214">
        <f>((Inertia!$M$49/2+Inertia!$L$49)*9.81+IF(Inertia!$F$56&lt;=V260,Inertia!$F$55,0))</f>
        <v>0</v>
      </c>
      <c r="T260" s="214">
        <f>Inertia!$N$49*9.81+IF(Inertia!$F$56&lt;=V260,Inertia!$F$55,0)</f>
        <v>0</v>
      </c>
      <c r="U260" s="214">
        <f>Inertia!$F$57*Inertia!$F$58/1000+Inertia!$F$59+IF(Inertia!$F$56&gt;V260,Inertia!$F$55,0)*Inertia!$F$56/1000</f>
        <v>0</v>
      </c>
      <c r="V260" s="152">
        <v>94</v>
      </c>
      <c r="W260" s="183">
        <f ca="1">IF(AND(G260&gt;=F260,SUM($W$259:W259)=0),1,0)</f>
        <v>0</v>
      </c>
      <c r="X260" s="159" t="str">
        <f ca="1">IF(W260=0,"",0.015)</f>
        <v/>
      </c>
      <c r="Y260" s="215" t="str">
        <f t="shared" ca="1" si="8"/>
        <v/>
      </c>
      <c r="Z260" s="216" t="str">
        <f t="shared" ca="1" si="11"/>
        <v/>
      </c>
      <c r="AA260" s="190">
        <f ca="1">W260*8.5</f>
        <v>0</v>
      </c>
      <c r="AB260" s="181"/>
      <c r="AC260" s="190"/>
      <c r="AD260" s="217"/>
      <c r="AE260" s="164">
        <f ca="1">IF(F260&lt;G260,F260/G260*$C$260*VLOOKUP(Inertia!$D$38,$A$270:$E$277,5,FALSE),"")</f>
        <v>0</v>
      </c>
      <c r="AF260" s="190">
        <f>CHOOSE(CODE(Inertia!$D$39)-CODE("A")+1,0.7,0.86,1.18,1.82,2.14,2.31,0,0,0,0,0)</f>
        <v>1.18</v>
      </c>
      <c r="AG260" s="191"/>
      <c r="AH260" s="191"/>
      <c r="AI260" s="191"/>
    </row>
    <row r="261" spans="1:38" ht="14" customHeight="1">
      <c r="B261" s="144" t="s">
        <v>420</v>
      </c>
      <c r="C261" s="221">
        <f ca="1">((PI()/180*360/Inertia!D38)/Inertia!I40^2)*VLOOKUP(Inertia!D38,Selection!A270:D277,4,FALSE)</f>
        <v>10.398671683382215</v>
      </c>
      <c r="D261" s="152" t="s">
        <v>419</v>
      </c>
      <c r="E261" s="183">
        <v>15</v>
      </c>
      <c r="F261" s="190">
        <f>Inertia!$N$50</f>
        <v>0</v>
      </c>
      <c r="G261" s="190">
        <f t="shared" ca="1" si="4"/>
        <v>37.245454545454542</v>
      </c>
      <c r="H261" s="190" t="str">
        <f ca="1">INDIRECT(ADDRESS($C$246+$E261,2,4))&amp;LEFT(Inertia!$D$39,1)&amp;Inertia!$D$38&amp;IF(Inertia!$D$40=50,"E","U")</f>
        <v>TRW 210C4E</v>
      </c>
      <c r="I261" s="211">
        <f t="shared" ca="1" si="9"/>
        <v>105</v>
      </c>
      <c r="J261" s="154">
        <f ca="1">Inertia!$F$49/I261</f>
        <v>0</v>
      </c>
      <c r="K261" s="212">
        <f t="shared" ca="1" si="12"/>
        <v>1.1000000000000001</v>
      </c>
      <c r="L261" s="156">
        <f t="shared" ref="L261:N261" si="22">L255</f>
        <v>56760</v>
      </c>
      <c r="M261" s="156">
        <f t="shared" si="22"/>
        <v>28380</v>
      </c>
      <c r="N261" s="156">
        <f t="shared" si="22"/>
        <v>4328</v>
      </c>
      <c r="O261" s="213">
        <f t="shared" si="17"/>
        <v>4328</v>
      </c>
      <c r="P261" s="213">
        <f t="shared" si="18"/>
        <v>4328</v>
      </c>
      <c r="Q261" s="183">
        <f t="shared" si="19"/>
        <v>1</v>
      </c>
      <c r="R261" s="214">
        <f t="shared" si="20"/>
        <v>0</v>
      </c>
      <c r="S261" s="214">
        <f>((Inertia!$M$49/2+Inertia!$L$49)*9.81+IF(Inertia!$F$56&lt;=V261,Inertia!$F$55,0))</f>
        <v>0</v>
      </c>
      <c r="T261" s="214">
        <f>Inertia!$N$49*9.81+IF(Inertia!$F$56&lt;=V261,Inertia!$F$55,0)</f>
        <v>0</v>
      </c>
      <c r="U261" s="214">
        <f>Inertia!$F$57*Inertia!$F$58/1000+Inertia!$F$59+IF(Inertia!$F$56&gt;V261,Inertia!$F$55,0)*Inertia!$F$56/1000</f>
        <v>0</v>
      </c>
      <c r="V261" s="152">
        <v>125</v>
      </c>
      <c r="W261" s="183">
        <f ca="1">IF(AND(G261&gt;=F261,SUM($W$259:W260)=0),1,0)</f>
        <v>0</v>
      </c>
      <c r="X261" s="159" t="str">
        <f ca="1">IF(W261=0,"",0.011)</f>
        <v/>
      </c>
      <c r="Y261" s="215" t="str">
        <f t="shared" ca="1" si="8"/>
        <v/>
      </c>
      <c r="Z261" s="216" t="str">
        <f t="shared" ca="1" si="11"/>
        <v/>
      </c>
      <c r="AA261" s="190">
        <f ca="1">W261*12</f>
        <v>0</v>
      </c>
      <c r="AB261" s="209"/>
      <c r="AC261" s="190"/>
      <c r="AD261" s="210"/>
      <c r="AE261" s="164">
        <f ca="1">IF(F261&lt;G261,F261/G261*$C$260*VLOOKUP(Inertia!$D$38,$A$270:$E$277,5,FALSE),"")</f>
        <v>0</v>
      </c>
      <c r="AF261" s="190">
        <f>CHOOSE(CODE(Inertia!$D$39)-CODE("A")+1,0.66,0.87,1.22,1.62,2.14,2.5,3.16,4.29,0,0,0)</f>
        <v>1.22</v>
      </c>
      <c r="AG261" s="191"/>
      <c r="AH261" s="191"/>
      <c r="AI261" s="191"/>
    </row>
    <row r="262" spans="1:38" ht="14" customHeight="1">
      <c r="B262" s="144" t="s">
        <v>421</v>
      </c>
      <c r="C262" s="221">
        <f ca="1">Inertia!N50*Selection!C261</f>
        <v>0</v>
      </c>
      <c r="D262" s="152" t="s">
        <v>43</v>
      </c>
      <c r="E262" s="183">
        <v>16</v>
      </c>
      <c r="F262" s="190">
        <f>Inertia!$N$50</f>
        <v>0</v>
      </c>
      <c r="G262" s="190">
        <f t="shared" ca="1" si="4"/>
        <v>177.12727272727273</v>
      </c>
      <c r="H262" s="190" t="str">
        <f ca="1">INDIRECT(ADDRESS($C$246+$E262,2,4))&amp;LEFT(Inertia!$D$39,1)&amp;Inertia!$D$38&amp;IF(Inertia!$D$40=50,"E","U")</f>
        <v>TRW 315C4E</v>
      </c>
      <c r="I262" s="211">
        <f t="shared" ca="1" si="9"/>
        <v>157.5</v>
      </c>
      <c r="J262" s="190">
        <f ca="1">Inertia!$F$49/I262</f>
        <v>0</v>
      </c>
      <c r="K262" s="212">
        <f t="shared" ca="1" si="12"/>
        <v>1.1000000000000001</v>
      </c>
      <c r="L262" s="156">
        <f t="shared" ref="L262:N262" si="23">L256</f>
        <v>56695</v>
      </c>
      <c r="M262" s="156">
        <f t="shared" si="23"/>
        <v>28347</v>
      </c>
      <c r="N262" s="156">
        <f t="shared" si="23"/>
        <v>3345</v>
      </c>
      <c r="O262" s="213">
        <f t="shared" si="17"/>
        <v>3345</v>
      </c>
      <c r="P262" s="213">
        <f t="shared" si="18"/>
        <v>3345</v>
      </c>
      <c r="Q262" s="183">
        <f t="shared" si="19"/>
        <v>1</v>
      </c>
      <c r="R262" s="214">
        <f t="shared" si="20"/>
        <v>0</v>
      </c>
      <c r="S262" s="214">
        <f>((Inertia!$M$49/2+Inertia!$L$49)*9.81+IF(Inertia!$F$56&lt;=V262,Inertia!$F$55,0))</f>
        <v>0</v>
      </c>
      <c r="T262" s="214">
        <f>Inertia!$N$49*9.81+IF(Inertia!$F$56&lt;=V262,Inertia!$F$55,0)</f>
        <v>0</v>
      </c>
      <c r="U262" s="214">
        <f>Inertia!$F$57*Inertia!$F$58/1000+Inertia!$F$59+IF(Inertia!$F$56&gt;V262,Inertia!$F$55,0)*Inertia!$F$56/1000</f>
        <v>0</v>
      </c>
      <c r="V262" s="211">
        <v>125</v>
      </c>
      <c r="W262" s="183">
        <f ca="1">IF(AND(G262&gt;=F262,SUM($W$259:W261)=0),1,0)</f>
        <v>0</v>
      </c>
      <c r="X262" s="159" t="str">
        <f ca="1">IF(W262=0,"",0.008)</f>
        <v/>
      </c>
      <c r="Y262" s="215" t="str">
        <f t="shared" ca="1" si="8"/>
        <v/>
      </c>
      <c r="Z262" s="216" t="str">
        <f t="shared" ca="1" si="11"/>
        <v/>
      </c>
      <c r="AA262" s="190">
        <f ca="1">W262*15</f>
        <v>0</v>
      </c>
      <c r="AB262" s="209"/>
      <c r="AC262" s="190"/>
      <c r="AD262" s="210"/>
      <c r="AE262" s="164">
        <f ca="1">IF(F262&lt;G262,F262/G262*$C$260*VLOOKUP(Inertia!$D$38,$A$270:$E$277,5,FALSE),"")</f>
        <v>0</v>
      </c>
      <c r="AF262" s="190">
        <f>CHOOSE(CODE(Inertia!$D$39)-CODE("A")+1,0.65,0.82,1.18,1.67,2.07,2.5,3.33,3.75,5.45,6.19)</f>
        <v>1.18</v>
      </c>
      <c r="AG262" s="191"/>
      <c r="AH262" s="191"/>
    </row>
    <row r="263" spans="1:38" ht="14" customHeight="1">
      <c r="C263" s="154"/>
      <c r="D263" s="152"/>
      <c r="E263" s="211">
        <v>17</v>
      </c>
      <c r="F263" s="190">
        <f>Inertia!$N$50</f>
        <v>0</v>
      </c>
      <c r="G263" s="190">
        <f t="shared" ca="1" si="4"/>
        <v>292.20909090909089</v>
      </c>
      <c r="H263" s="190" t="str">
        <f ca="1">INDIRECT(ADDRESS($C$246+$E263,2,4))&amp;LEFT(Inertia!$D$39,1)&amp;Inertia!$D$38&amp;IF(Inertia!$D$40=50,"E","U")</f>
        <v>TRW 400C4E</v>
      </c>
      <c r="I263" s="211">
        <f t="shared" ca="1" si="9"/>
        <v>200</v>
      </c>
      <c r="J263" s="190">
        <f ca="1">Inertia!$F$49/I263</f>
        <v>0</v>
      </c>
      <c r="K263" s="212">
        <f t="shared" ref="K263:K265" ca="1" si="24">IF(J263&lt;5,1.1,IF(J263&lt;8,1.25,IF(J263&lt;10,2,100)))*Q263</f>
        <v>1.1000000000000001</v>
      </c>
      <c r="L263" s="336">
        <f t="shared" ref="L263:N263" si="25">L257</f>
        <v>88904</v>
      </c>
      <c r="M263" s="336">
        <f t="shared" si="25"/>
        <v>44452</v>
      </c>
      <c r="N263" s="336">
        <f t="shared" si="25"/>
        <v>6761</v>
      </c>
      <c r="O263" s="213">
        <f t="shared" ref="O263:O265" si="26">((-N263/L263*S263+N263)-R263)</f>
        <v>6761</v>
      </c>
      <c r="P263" s="213">
        <f t="shared" ref="P263:P265" si="27">(-N263/L263*T263+N263)-U263</f>
        <v>6761</v>
      </c>
      <c r="Q263" s="183">
        <f t="shared" si="6"/>
        <v>1</v>
      </c>
      <c r="R263" s="214">
        <f t="shared" ref="R263:R265" si="28">$C$253+U263</f>
        <v>0</v>
      </c>
      <c r="S263" s="214">
        <f>((Inertia!$M$49/2+Inertia!$L$49)*9.81+IF(Inertia!$F$56&lt;=V263,Inertia!$F$55,0))</f>
        <v>0</v>
      </c>
      <c r="T263" s="214">
        <f>Inertia!$N$49*9.81+IF(Inertia!$F$56&lt;=V263,Inertia!$F$55,0)</f>
        <v>0</v>
      </c>
      <c r="U263" s="214">
        <f>Inertia!$F$57*Inertia!$F$58/1000+Inertia!$F$59+IF(Inertia!$F$56&gt;V263,Inertia!$F$55,0)*Inertia!$F$56/1000</f>
        <v>0</v>
      </c>
      <c r="V263" s="211">
        <v>53</v>
      </c>
      <c r="W263" s="183">
        <f ca="1">IF(AND(G263&gt;=F263,SUM($W$259:W262)=0),1,0)</f>
        <v>0</v>
      </c>
      <c r="X263" s="159" t="str">
        <f ca="1">IF(W263=0,"",0.006)</f>
        <v/>
      </c>
      <c r="Y263" s="215" t="str">
        <f t="shared" ca="1" si="8"/>
        <v/>
      </c>
      <c r="Z263" s="216" t="str">
        <f t="shared" ca="1" si="11"/>
        <v/>
      </c>
      <c r="AA263" s="190">
        <f ca="1">W263*17</f>
        <v>0</v>
      </c>
      <c r="AB263" s="181" t="str">
        <f ca="1">Y259&amp;Y260&amp;Y261&amp;Y262&amp;Y263&amp;Y264&amp;Y265&amp;Y266&amp;Y267</f>
        <v>TRW 110C4E</v>
      </c>
      <c r="AC263" s="190">
        <f ca="1">IF(SUM(AA259:AA267)=0,1000,SUM(AA259:AA267))</f>
        <v>6.5</v>
      </c>
      <c r="AD263" s="210" t="str">
        <f ca="1">X259&amp;X260&amp;X261&amp;X262&amp;X263&amp;X264&amp;X265&amp;X266&amp;X267</f>
        <v>0,021</v>
      </c>
      <c r="AE263" s="164">
        <f ca="1">IF(F263&lt;G263,F263/G263*$C$260*VLOOKUP(Inertia!$D$38,$A$270:$E$277,5,FALSE),"")</f>
        <v>0</v>
      </c>
      <c r="AF263" s="190">
        <f>CHOOSE(CODE(Inertia!$D$39)-CODE("A")+1,0.68,0.87,1.25,1.71,1.94,2.5,3.16,4.29,5.45,7.69)</f>
        <v>1.25</v>
      </c>
    </row>
    <row r="264" spans="1:38" ht="14" customHeight="1">
      <c r="C264" s="154"/>
      <c r="D264" s="152"/>
      <c r="E264" s="211">
        <v>18</v>
      </c>
      <c r="F264" s="190">
        <f>Inertia!$N$50</f>
        <v>0</v>
      </c>
      <c r="G264" s="190">
        <f t="shared" ca="1" si="4"/>
        <v>517.35454545454547</v>
      </c>
      <c r="H264" s="190" t="str">
        <f ca="1">INDIRECT(ADDRESS($C$246+$E264,2,4))&amp;LEFT(Inertia!$D$39,1)&amp;Inertia!$D$38&amp;IF(Inertia!$D$40=50,"E","U")</f>
        <v>TRW 470C4E</v>
      </c>
      <c r="I264" s="211">
        <f t="shared" ca="1" si="9"/>
        <v>235</v>
      </c>
      <c r="J264" s="190">
        <f ca="1">Inertia!$F$49/I264</f>
        <v>0</v>
      </c>
      <c r="K264" s="212">
        <f t="shared" ca="1" si="24"/>
        <v>1.1000000000000001</v>
      </c>
      <c r="L264" s="336">
        <f t="shared" ref="L264:N264" si="29">L258</f>
        <v>88904</v>
      </c>
      <c r="M264" s="336">
        <f t="shared" si="29"/>
        <v>44452</v>
      </c>
      <c r="N264" s="336">
        <f t="shared" si="29"/>
        <v>6761</v>
      </c>
      <c r="O264" s="213">
        <f t="shared" si="26"/>
        <v>6761</v>
      </c>
      <c r="P264" s="213">
        <f t="shared" si="27"/>
        <v>6761</v>
      </c>
      <c r="Q264" s="183">
        <f t="shared" si="6"/>
        <v>1</v>
      </c>
      <c r="R264" s="214">
        <f t="shared" si="28"/>
        <v>0</v>
      </c>
      <c r="S264" s="214">
        <f>((Inertia!$M$49/2+Inertia!$L$49)*9.81+IF(Inertia!$F$56&lt;=V264,Inertia!$F$55,0))</f>
        <v>0</v>
      </c>
      <c r="T264" s="214">
        <f>Inertia!$N$49*9.81+IF(Inertia!$F$56&lt;=V264,Inertia!$F$55,0)</f>
        <v>0</v>
      </c>
      <c r="U264" s="214">
        <f>Inertia!$F$57*Inertia!$F$58/1000+Inertia!$F$59+IF(Inertia!$F$56&gt;V264,Inertia!$F$55,0)*Inertia!$F$56/1000</f>
        <v>0</v>
      </c>
      <c r="V264" s="211">
        <v>83</v>
      </c>
      <c r="W264" s="183">
        <f ca="1">IF(AND(G264&gt;=F264,SUM($W$259:W263)=0),1,0)</f>
        <v>0</v>
      </c>
      <c r="X264" s="159" t="str">
        <f ca="1">IF(W264=0,"",0.005)</f>
        <v/>
      </c>
      <c r="Y264" s="215" t="str">
        <f t="shared" ca="1" si="8"/>
        <v/>
      </c>
      <c r="Z264" s="216" t="str">
        <f t="shared" ca="1" si="11"/>
        <v/>
      </c>
      <c r="AA264" s="190">
        <f ca="1">W264*19</f>
        <v>0</v>
      </c>
      <c r="AB264" s="181"/>
      <c r="AC264" s="190"/>
      <c r="AD264" s="217"/>
      <c r="AE264" s="164">
        <f ca="1">IF(F264&lt;G264,F264/G264*$C$260*VLOOKUP(Inertia!$D$38,$A$270:$E$277,5,FALSE),"")</f>
        <v>0</v>
      </c>
      <c r="AF264" s="190">
        <f>CHOOSE(CODE(Inertia!$D$39)-CODE("A")+1,0.62,0.83,1.2,1.88,2.14,2.4,3.33,4.29,5.45,7.5)</f>
        <v>1.2</v>
      </c>
    </row>
    <row r="265" spans="1:38" ht="14" customHeight="1">
      <c r="C265" s="154"/>
      <c r="D265" s="152"/>
      <c r="E265" s="211">
        <v>19</v>
      </c>
      <c r="F265" s="190">
        <f>Inertia!$N$50</f>
        <v>0</v>
      </c>
      <c r="G265" s="190">
        <f t="shared" ca="1" si="4"/>
        <v>783.63636363636363</v>
      </c>
      <c r="H265" s="190" t="str">
        <f ca="1">INDIRECT(ADDRESS($C$246+$E265,2,4))&amp;LEFT(Inertia!$D$39,1)&amp;Inertia!$D$38&amp;IF(Inertia!$D$40=50,"E","U")</f>
        <v>TRW 600C4E</v>
      </c>
      <c r="I265" s="211">
        <f t="shared" ca="1" si="9"/>
        <v>300</v>
      </c>
      <c r="J265" s="190">
        <f ca="1">Inertia!$F$49/I265</f>
        <v>0</v>
      </c>
      <c r="K265" s="212">
        <f t="shared" ca="1" si="24"/>
        <v>1.1000000000000001</v>
      </c>
      <c r="L265" s="336">
        <v>120000</v>
      </c>
      <c r="M265" s="336">
        <v>65000</v>
      </c>
      <c r="N265" s="336">
        <v>16000</v>
      </c>
      <c r="O265" s="213">
        <f t="shared" si="26"/>
        <v>16000</v>
      </c>
      <c r="P265" s="213">
        <f t="shared" si="27"/>
        <v>16000</v>
      </c>
      <c r="Q265" s="183">
        <f t="shared" si="6"/>
        <v>1</v>
      </c>
      <c r="R265" s="214">
        <f t="shared" si="28"/>
        <v>0</v>
      </c>
      <c r="S265" s="214">
        <f>((Inertia!$M$49/2+Inertia!$L$49)*9.81+IF(Inertia!$F$56&lt;=V265,Inertia!$F$55,0))</f>
        <v>0</v>
      </c>
      <c r="T265" s="214">
        <f>Inertia!$N$49*9.81+IF(Inertia!$F$56&lt;=V265,Inertia!$F$55,0)</f>
        <v>0</v>
      </c>
      <c r="U265" s="214">
        <f>Inertia!$F$57*Inertia!$F$58/1000+Inertia!$F$59+IF(Inertia!$F$56&gt;V265,Inertia!$F$55,0)*Inertia!$F$56/1000</f>
        <v>0</v>
      </c>
      <c r="V265" s="211">
        <v>120</v>
      </c>
      <c r="W265" s="183">
        <f ca="1">IF(AND(G265&gt;=F265,SUM($W$259:W264)=0),1,0)</f>
        <v>0</v>
      </c>
      <c r="X265" s="159" t="str">
        <f ca="1">IF(W265=0,"",0.004)</f>
        <v/>
      </c>
      <c r="Y265" s="215" t="str">
        <f t="shared" ca="1" si="8"/>
        <v/>
      </c>
      <c r="Z265" s="216" t="str">
        <f t="shared" ca="1" si="11"/>
        <v/>
      </c>
      <c r="AA265" s="190">
        <f ca="1">W265*20</f>
        <v>0</v>
      </c>
      <c r="AB265" s="209"/>
      <c r="AC265" s="190"/>
      <c r="AD265" s="210"/>
      <c r="AE265" s="164">
        <f ca="1">IF(F265&lt;G265,F265/G265*$C$260*VLOOKUP(Inertia!$D$38,$A$270:$E$277,5,FALSE),"")</f>
        <v>0</v>
      </c>
      <c r="AF265" s="337">
        <f>CHOOSE(CODE(Inertia!$D$39)-CODE("A")+1,0.71,0.81,1.2,1.82,2.07,2.4,3.33,4.29,5.45,7.5)</f>
        <v>1.2</v>
      </c>
    </row>
    <row r="266" spans="1:38" ht="14" customHeight="1">
      <c r="C266" s="154"/>
      <c r="D266" s="152"/>
      <c r="E266" s="211">
        <v>20</v>
      </c>
      <c r="F266" s="190">
        <f>Inertia!$N$50</f>
        <v>0</v>
      </c>
      <c r="G266" s="190">
        <f t="shared" ref="G266:G267" ca="1" si="30">IFERROR(INDIRECT(ADDRESS($C$246+$E266,$C$247,4))/K266,0)</f>
        <v>1407.6454545454544</v>
      </c>
      <c r="H266" s="190" t="str">
        <f ca="1">INDIRECT(ADDRESS($C$246+$E266,2,4))&amp;LEFT(Inertia!$D$39,1)&amp;Inertia!$D$38&amp;IF(Inertia!$D$40=50,"E","U")</f>
        <v>TRW 700C4E</v>
      </c>
      <c r="I266" s="211">
        <f t="shared" ca="1" si="9"/>
        <v>350</v>
      </c>
      <c r="J266" s="190">
        <f ca="1">Inertia!$F$49/I266</f>
        <v>0</v>
      </c>
      <c r="K266" s="212">
        <f t="shared" ref="K266:K267" ca="1" si="31">IF(J266&lt;5,1.1,IF(J266&lt;8,1.25,IF(J266&lt;10,2,100)))*Q266</f>
        <v>1.1000000000000001</v>
      </c>
      <c r="L266" s="336">
        <v>120000</v>
      </c>
      <c r="M266" s="336">
        <v>65000</v>
      </c>
      <c r="N266" s="336">
        <v>16000</v>
      </c>
      <c r="O266" s="213">
        <f t="shared" ref="O266:O267" si="32">((-N266/L266*S266+N266)-R266)</f>
        <v>16000</v>
      </c>
      <c r="P266" s="213">
        <f t="shared" ref="P266:P267" si="33">(-N266/L266*T266+N266)-U266</f>
        <v>16000</v>
      </c>
      <c r="Q266" s="183">
        <f t="shared" ref="Q266:Q267" si="34">IF(AND(O266&gt;0,P266&gt;0),1,10000)</f>
        <v>1</v>
      </c>
      <c r="R266" s="214">
        <f t="shared" ref="R266:R267" si="35">$C$253+U266</f>
        <v>0</v>
      </c>
      <c r="S266" s="214">
        <f>((Inertia!$M$49/2+Inertia!$L$49)*9.81+IF(Inertia!$F$56&lt;=V266,Inertia!$F$55,0))</f>
        <v>0</v>
      </c>
      <c r="T266" s="214">
        <f>Inertia!$N$49*9.81+IF(Inertia!$F$56&lt;=V266,Inertia!$F$55,0)</f>
        <v>0</v>
      </c>
      <c r="U266" s="214">
        <f>Inertia!$F$57*Inertia!$F$58/1000+Inertia!$F$59+IF(Inertia!$F$56&gt;V266,Inertia!$F$55,0)*Inertia!$F$56/1000</f>
        <v>0</v>
      </c>
      <c r="V266" s="211">
        <v>121</v>
      </c>
      <c r="W266" s="183">
        <f ca="1">IF(AND(G266&gt;=F266,SUM($W$259:W265)=0),1,0)</f>
        <v>0</v>
      </c>
      <c r="X266" s="159" t="str">
        <f ca="1">IF(W266=0,"",0.004)</f>
        <v/>
      </c>
      <c r="Y266" s="215" t="str">
        <f t="shared" ca="1" si="8"/>
        <v/>
      </c>
      <c r="Z266" s="216" t="str">
        <f t="shared" ca="1" si="11"/>
        <v/>
      </c>
      <c r="AA266" s="190">
        <f ca="1">W266*21</f>
        <v>0</v>
      </c>
      <c r="AB266" s="209"/>
      <c r="AC266" s="190"/>
      <c r="AD266" s="210"/>
      <c r="AE266" s="164">
        <f ca="1">IF(F266&lt;G266,F266/G266*$C$260*VLOOKUP(Inertia!$D$38,$A$270:$E$277,5,FALSE),"")</f>
        <v>0</v>
      </c>
      <c r="AF266" s="337">
        <f>CHOOSE(CODE(Inertia!$D$39)-CODE("A")+1,0.63,0.85,1.25,1.82,2.14,2.5,3.16,4,5,6.12)</f>
        <v>1.25</v>
      </c>
    </row>
    <row r="267" spans="1:38" ht="14" customHeight="1">
      <c r="C267" s="154"/>
      <c r="D267" s="152"/>
      <c r="E267" s="170">
        <v>21</v>
      </c>
      <c r="F267" s="169">
        <f>Inertia!$N$50</f>
        <v>0</v>
      </c>
      <c r="G267" s="169">
        <f t="shared" ca="1" si="30"/>
        <v>1640.272727272727</v>
      </c>
      <c r="H267" s="169" t="str">
        <f ca="1">INDIRECT(ADDRESS($C$246+$E267,2,4))&amp;LEFT(Inertia!$D$39,1)&amp;Inertia!$D$38&amp;IF(Inertia!$D$40=50,"E","U")</f>
        <v>TRW 850C4E</v>
      </c>
      <c r="I267" s="170">
        <f t="shared" ca="1" si="9"/>
        <v>425</v>
      </c>
      <c r="J267" s="169">
        <f ca="1">Inertia!$F$49/I267</f>
        <v>0</v>
      </c>
      <c r="K267" s="171">
        <f t="shared" ca="1" si="31"/>
        <v>1.1000000000000001</v>
      </c>
      <c r="L267" s="172">
        <v>138750</v>
      </c>
      <c r="M267" s="172">
        <v>67500</v>
      </c>
      <c r="N267" s="172">
        <v>21000</v>
      </c>
      <c r="O267" s="173">
        <f t="shared" si="32"/>
        <v>21000</v>
      </c>
      <c r="P267" s="173">
        <f t="shared" si="33"/>
        <v>21000</v>
      </c>
      <c r="Q267" s="168">
        <f t="shared" si="34"/>
        <v>1</v>
      </c>
      <c r="R267" s="174">
        <f t="shared" si="35"/>
        <v>0</v>
      </c>
      <c r="S267" s="174">
        <f>((Inertia!$M$49/2+Inertia!$L$49)*9.81+IF(Inertia!$F$56&lt;=V267,Inertia!$F$55,0))</f>
        <v>0</v>
      </c>
      <c r="T267" s="174">
        <f>Inertia!$N$49*9.81+IF(Inertia!$F$56&lt;=V267,Inertia!$F$55,0)</f>
        <v>0</v>
      </c>
      <c r="U267" s="174">
        <f>Inertia!$F$57*Inertia!$F$58/1000+Inertia!$F$59+IF(Inertia!$F$56&gt;V267,Inertia!$F$55,0)*Inertia!$F$56/1000</f>
        <v>0</v>
      </c>
      <c r="V267" s="170">
        <v>122</v>
      </c>
      <c r="W267" s="168">
        <f ca="1">IF(AND(G267&gt;=F267,SUM($W$259:W266)=0),1,0)</f>
        <v>0</v>
      </c>
      <c r="X267" s="175" t="str">
        <f ca="1">IF(W267=0,"",0.004)</f>
        <v/>
      </c>
      <c r="Y267" s="176" t="str">
        <f t="shared" ca="1" si="8"/>
        <v/>
      </c>
      <c r="Z267" s="177" t="str">
        <f t="shared" ca="1" si="11"/>
        <v/>
      </c>
      <c r="AA267" s="169">
        <f ca="1">W267*22</f>
        <v>0</v>
      </c>
      <c r="AB267" s="178"/>
      <c r="AC267" s="169"/>
      <c r="AD267" s="179"/>
      <c r="AE267" s="201">
        <f ca="1">IF(F267&lt;G267,F267/G267*$C$260*VLOOKUP(Inertia!$D$38,$A$270:$E$277,5,FALSE),"")</f>
        <v>0</v>
      </c>
      <c r="AF267" s="337">
        <f>CHOOSE(CODE(Inertia!$D$39)-CODE("A")+1,0.61,0.91,1.18,1.71,2.07,2.31,3,3.75,5.45,6.25)</f>
        <v>1.18</v>
      </c>
    </row>
    <row r="268" spans="1:38" ht="14" customHeight="1" thickBot="1"/>
    <row r="269" spans="1:38" ht="14" customHeight="1" thickBot="1">
      <c r="A269" s="146" t="s">
        <v>26</v>
      </c>
      <c r="B269" s="147" t="s">
        <v>342</v>
      </c>
      <c r="C269" s="146" t="s">
        <v>299</v>
      </c>
      <c r="D269" s="146" t="s">
        <v>300</v>
      </c>
      <c r="E269" s="146" t="s">
        <v>301</v>
      </c>
      <c r="M269" s="138"/>
      <c r="N269" s="138"/>
      <c r="O269" s="138"/>
      <c r="P269" s="138"/>
      <c r="Q269" s="138"/>
      <c r="R269" s="138"/>
    </row>
    <row r="270" spans="1:38" ht="14" customHeight="1">
      <c r="A270" s="152">
        <v>2</v>
      </c>
      <c r="B270" s="223">
        <f>(Inertia!$M$49/Inertia!$D$38*9.81)*Inertia!F49/1000</f>
        <v>0</v>
      </c>
      <c r="C270" s="154">
        <v>1.28</v>
      </c>
      <c r="D270" s="154">
        <v>8.01</v>
      </c>
      <c r="E270" s="154">
        <f>C270/D270</f>
        <v>0.15980024968789014</v>
      </c>
    </row>
    <row r="271" spans="1:38" ht="14" customHeight="1">
      <c r="A271" s="152">
        <v>3</v>
      </c>
      <c r="B271" s="223">
        <f>(Inertia!$M$49/Inertia!$D$38*9.81)*SIN(60*PI()/180)*Inertia!F49/1000</f>
        <v>0</v>
      </c>
      <c r="C271" s="154">
        <v>1.4</v>
      </c>
      <c r="D271" s="154">
        <v>6.62</v>
      </c>
      <c r="E271" s="154">
        <f t="shared" ref="E271:E277" si="36">C271/D271</f>
        <v>0.21148036253776434</v>
      </c>
    </row>
    <row r="272" spans="1:38" ht="14" customHeight="1">
      <c r="A272" s="152">
        <v>4</v>
      </c>
      <c r="B272" s="223">
        <f>(Inertia!$M$49/Inertia!$D$38*9.81)*(SIN(45*PI()/180)*Inertia!F49/1000)*2</f>
        <v>0</v>
      </c>
      <c r="C272" s="154">
        <v>1.4</v>
      </c>
      <c r="D272" s="154">
        <v>6.62</v>
      </c>
      <c r="E272" s="154">
        <f t="shared" si="36"/>
        <v>0.21148036253776434</v>
      </c>
    </row>
    <row r="273" spans="1:5" ht="14" customHeight="1">
      <c r="A273" s="152">
        <v>5</v>
      </c>
      <c r="B273" s="223">
        <f>(Inertia!$M$49/Inertia!$D$38*9.81)*SIN(36*PI()/180)*Inertia!F49/1000+(Inertia!$M$49/Inertia!$D$38*9.81)*SIN(72*PI()/180)*Inertia!F49/1000</f>
        <v>0</v>
      </c>
      <c r="C273" s="154">
        <v>1.4</v>
      </c>
      <c r="D273" s="154">
        <v>6.62</v>
      </c>
      <c r="E273" s="154">
        <f t="shared" si="36"/>
        <v>0.21148036253776434</v>
      </c>
    </row>
    <row r="274" spans="1:5" ht="14" customHeight="1">
      <c r="A274" s="152">
        <v>6</v>
      </c>
      <c r="B274" s="223">
        <f>(Inertia!$M$49/Inertia!$D$38*9.81)*SIN(30*PI()/180)*Inertia!F49/1000*2+(Inertia!$M$49/Inertia!$D$38*9.81)*Inertia!F49/1000</f>
        <v>0</v>
      </c>
      <c r="C274" s="154">
        <v>1.76</v>
      </c>
      <c r="D274" s="154">
        <v>5.53</v>
      </c>
      <c r="E274" s="154">
        <f t="shared" si="36"/>
        <v>0.31826401446654612</v>
      </c>
    </row>
    <row r="275" spans="1:5" ht="14" customHeight="1">
      <c r="A275" s="152">
        <v>8</v>
      </c>
      <c r="B275" s="223">
        <f>(Inertia!$M$49/Inertia!$D$38*9.81)*SIN(22.5*PI()/180)*Inertia!F49/1000*2+(Inertia!$M$49/Inertia!$D$38*9.81)*SIN(67.5*PI()/180)*Inertia!F49/1000*2</f>
        <v>0</v>
      </c>
      <c r="C275" s="154">
        <v>1.76</v>
      </c>
      <c r="D275" s="154">
        <v>5.53</v>
      </c>
      <c r="E275" s="154">
        <f t="shared" si="36"/>
        <v>0.31826401446654612</v>
      </c>
    </row>
    <row r="276" spans="1:5" ht="14" customHeight="1">
      <c r="A276" s="152">
        <v>10</v>
      </c>
      <c r="B276" s="223">
        <f>(Inertia!$M$49/Inertia!$D$38*9.81)*SIN(18*PI()/180)*Inertia!F49/1000*2+(Inertia!$M$49/Inertia!$D$38*9.81)*SIN(54*PI()/180)*Inertia!F49/1000*2+(Inertia!$M$49/Inertia!$D$38*9.81)*SIN(90*PI()/180)*Inertia!F49/1000</f>
        <v>0</v>
      </c>
      <c r="C276" s="154">
        <v>1.76</v>
      </c>
      <c r="D276" s="154">
        <v>5.53</v>
      </c>
      <c r="E276" s="154">
        <f t="shared" si="36"/>
        <v>0.31826401446654612</v>
      </c>
    </row>
    <row r="277" spans="1:5" ht="14" customHeight="1" thickBot="1">
      <c r="A277" s="218">
        <v>12</v>
      </c>
      <c r="B277" s="224">
        <f>(Inertia!$M$49/Inertia!$D$38*9.81)*SIN(15*PI()/180)*Inertia!F49/1000*2+(Inertia!$M$49/Inertia!$D$38*9.81)*SIN(45*PI()/180)*Inertia!F49/1000*2+(Inertia!$M$49/Inertia!$D$38*9.81)*SIN(75*PI()/180)*Inertia!F49/1000*2</f>
        <v>0</v>
      </c>
      <c r="C277" s="219">
        <v>1.76</v>
      </c>
      <c r="D277" s="219">
        <v>5.53</v>
      </c>
      <c r="E277" s="219">
        <f t="shared" si="36"/>
        <v>0.31826401446654612</v>
      </c>
    </row>
  </sheetData>
  <sheetProtection algorithmName="SHA-512" hashValue="S4wbueVrXeqKnGxBaZ7ldgAOiwLB+iN5fJR690lJ/uBjyk1Pxy+0LrZzdHwTfl3TGusd3A09vyz1TISt2KdEWQ==" saltValue="6yCx1isZjP6SZV/ciDopGQ==" spinCount="100000" sheet="1" objects="1" scenarios="1" formatColumns="0"/>
  <mergeCells count="1">
    <mergeCell ref="AF251:AH251"/>
  </mergeCells>
  <conditionalFormatting sqref="C140:M155">
    <cfRule type="cellIs" dxfId="4" priority="4" stopIfTrue="1" operator="equal">
      <formula>0</formula>
    </cfRule>
  </conditionalFormatting>
  <conditionalFormatting sqref="C184:M199">
    <cfRule type="cellIs" dxfId="3" priority="3" stopIfTrue="1" operator="equal">
      <formula>0</formula>
    </cfRule>
  </conditionalFormatting>
  <conditionalFormatting sqref="C228:M243">
    <cfRule type="cellIs" dxfId="2" priority="2" stopIfTrue="1" operator="equal">
      <formula>0</formula>
    </cfRule>
  </conditionalFormatting>
  <conditionalFormatting sqref="AA246:AA267">
    <cfRule type="cellIs" dxfId="1" priority="1" operator="equal">
      <formula>0</formula>
    </cfRule>
  </conditionalFormatting>
  <pageMargins left="0.75" right="0.75" top="1" bottom="1" header="0.5" footer="0.5"/>
  <pageSetup paperSize="9" scale="12" orientation="landscape"/>
  <legacyDrawing r:id="rId1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M52"/>
  <sheetViews>
    <sheetView topLeftCell="N1" zoomScale="145" workbookViewId="0">
      <selection activeCell="N12" sqref="N12"/>
    </sheetView>
  </sheetViews>
  <sheetFormatPr defaultColWidth="8.6328125" defaultRowHeight="12.5"/>
  <cols>
    <col min="1" max="1" width="2.453125" hidden="1" customWidth="1"/>
    <col min="2" max="2" width="53.1796875" hidden="1" customWidth="1"/>
    <col min="3" max="3" width="9.36328125" hidden="1" customWidth="1"/>
    <col min="4" max="4" width="12.1796875" hidden="1" customWidth="1"/>
    <col min="5" max="5" width="2.36328125" hidden="1" customWidth="1"/>
    <col min="6" max="6" width="50.1796875" hidden="1" customWidth="1"/>
    <col min="7" max="7" width="0" hidden="1" customWidth="1"/>
    <col min="8" max="8" width="4.6328125" hidden="1" customWidth="1"/>
    <col min="9" max="9" width="10.1796875" hidden="1" customWidth="1"/>
    <col min="10" max="13" width="0" hidden="1" customWidth="1"/>
  </cols>
  <sheetData>
    <row r="1" spans="6:11" ht="14">
      <c r="F1" s="24" t="str">
        <f>'Company name'!B2</f>
        <v xml:space="preserve">CDS Cam Driven Systems </v>
      </c>
    </row>
    <row r="2" spans="6:11">
      <c r="F2" s="5" t="str">
        <f>'Company name'!B3</f>
        <v>Division of Bettinelli F.lli S.p.A.</v>
      </c>
    </row>
    <row r="3" spans="6:11">
      <c r="F3" s="5" t="str">
        <f>'Company name'!B4</f>
        <v>Via Leonardo da Vinci, 56    26010 BAGNOLO CREMASCO (CR)</v>
      </c>
    </row>
    <row r="4" spans="6:11">
      <c r="F4" s="9" t="str">
        <f>'Company name'!B5</f>
        <v>Tel. +39 0373 237311    Fax. +39 0373 237538     e-mail: cds@bettinelli.it   www.cdsindexers.com</v>
      </c>
    </row>
    <row r="9" spans="6:11">
      <c r="F9" t="s">
        <v>93</v>
      </c>
    </row>
    <row r="10" spans="6:11" ht="13">
      <c r="F10" s="425" t="str">
        <f>IF('Company name'!C10="","",'Company name'!C10)</f>
        <v/>
      </c>
      <c r="G10" s="347"/>
      <c r="H10" s="347"/>
      <c r="I10" s="347"/>
      <c r="J10" s="347"/>
      <c r="K10" s="347"/>
    </row>
    <row r="11" spans="6:11">
      <c r="F11" s="428" t="str">
        <f>IF('Company name'!C11="","",'Company name'!C11)</f>
        <v/>
      </c>
      <c r="G11" s="428"/>
      <c r="H11" s="428"/>
      <c r="I11" s="428"/>
      <c r="J11" s="428"/>
      <c r="K11" s="428"/>
    </row>
    <row r="12" spans="6:11">
      <c r="F12" s="429" t="str">
        <f>IF('Company name'!A28="USA",IF('Company name'!C15="","",'Company name'!C15)&amp;" - "&amp;IF('Company name'!C14="","",'Company name'!C14),IF('Company name'!C14="","",'Company name'!C14)&amp;" - "&amp;IF('Company name'!C15="","",'Company name'!C15))</f>
        <v xml:space="preserve"> - </v>
      </c>
      <c r="G12" s="430"/>
      <c r="H12" s="430"/>
      <c r="I12" s="430"/>
      <c r="J12" s="430"/>
      <c r="K12" s="430"/>
    </row>
    <row r="13" spans="6:11">
      <c r="F13" s="5"/>
      <c r="G13" s="428" t="str">
        <f>IF('Company name'!C16="","",'Company name'!C16)</f>
        <v/>
      </c>
      <c r="H13" s="428"/>
      <c r="I13" s="428"/>
      <c r="J13" s="428"/>
      <c r="K13" s="428"/>
    </row>
    <row r="14" spans="6:11">
      <c r="F14" s="5" t="s">
        <v>19</v>
      </c>
      <c r="G14" s="428" t="str">
        <f>IF('Company name'!C25="","",'Company name'!C25)</f>
        <v/>
      </c>
      <c r="H14" s="428"/>
      <c r="I14" s="428"/>
      <c r="J14" s="428"/>
      <c r="K14" s="428"/>
    </row>
    <row r="15" spans="6:11">
      <c r="F15" t="s">
        <v>75</v>
      </c>
      <c r="G15" s="423" t="str">
        <f>IF('Company name'!C23="","",'Company name'!C23)</f>
        <v/>
      </c>
      <c r="H15" s="424"/>
      <c r="I15" s="424"/>
      <c r="J15" s="424"/>
      <c r="K15" s="424"/>
    </row>
    <row r="16" spans="6:11">
      <c r="F16" t="s">
        <v>76</v>
      </c>
      <c r="G16" s="423" t="str">
        <f>IF('Company name'!C24="","",'Company name'!C24)</f>
        <v/>
      </c>
      <c r="H16" s="424"/>
      <c r="I16" s="424"/>
      <c r="J16" s="424"/>
      <c r="K16" s="424"/>
    </row>
    <row r="18" spans="1:13">
      <c r="B18" s="20"/>
      <c r="H18" t="s">
        <v>74</v>
      </c>
      <c r="I18" s="19"/>
    </row>
    <row r="20" spans="1:13">
      <c r="A20" s="347" t="str">
        <f>"To the Kind attention of "&amp;'Company name'!C20&amp;" "&amp;'Company name'!C21</f>
        <v xml:space="preserve">To the Kind attention of  </v>
      </c>
      <c r="B20" s="347"/>
      <c r="C20" s="347"/>
      <c r="D20" s="347"/>
      <c r="E20" s="347"/>
      <c r="F20" s="347"/>
      <c r="G20" s="347"/>
      <c r="H20" s="347"/>
      <c r="I20" s="347"/>
      <c r="J20" s="347"/>
    </row>
    <row r="22" spans="1:13" ht="13">
      <c r="A22" s="1" t="s">
        <v>94</v>
      </c>
      <c r="B22" s="6"/>
    </row>
    <row r="23" spans="1:13" ht="13">
      <c r="A23" s="1" t="s">
        <v>77</v>
      </c>
      <c r="B23" s="425" t="str">
        <f ca="1">"Rotary indexing Table   "&amp;Inertia!I55</f>
        <v>Rotary indexing Table   ITP 75C4EZCX</v>
      </c>
      <c r="C23" s="425"/>
      <c r="D23" s="347"/>
      <c r="E23" s="347"/>
      <c r="F23" s="347"/>
      <c r="G23" s="347"/>
      <c r="H23" s="347"/>
      <c r="I23" s="347"/>
    </row>
    <row r="25" spans="1:13" ht="13">
      <c r="A25" s="1" t="s">
        <v>78</v>
      </c>
      <c r="B25" t="s">
        <v>96</v>
      </c>
      <c r="C25" s="347" t="str">
        <f ca="1">B23</f>
        <v>Rotary indexing Table   ITP 75C4EZCX</v>
      </c>
      <c r="D25" s="347"/>
      <c r="E25" s="347"/>
      <c r="F25" s="347"/>
    </row>
    <row r="26" spans="1:13">
      <c r="B26" t="s">
        <v>106</v>
      </c>
      <c r="C26" s="23" t="s">
        <v>221</v>
      </c>
      <c r="D26" s="21" t="s">
        <v>211</v>
      </c>
    </row>
    <row r="27" spans="1:13">
      <c r="B27" t="s">
        <v>97</v>
      </c>
      <c r="C27">
        <f>Inertia!D38</f>
        <v>4</v>
      </c>
    </row>
    <row r="28" spans="1:13">
      <c r="B28" t="s">
        <v>90</v>
      </c>
    </row>
    <row r="29" spans="1:13">
      <c r="B29" t="s">
        <v>79</v>
      </c>
      <c r="D29" s="4"/>
    </row>
    <row r="30" spans="1:13">
      <c r="D30" s="4"/>
    </row>
    <row r="31" spans="1:13">
      <c r="B31" t="s">
        <v>98</v>
      </c>
      <c r="D31" t="str">
        <f>"ratio "&amp;Inertia!F39&amp;" : 1"</f>
        <v>ratio 28 : 1</v>
      </c>
    </row>
    <row r="32" spans="1:13">
      <c r="B32" t="s">
        <v>99</v>
      </c>
      <c r="C32" s="4"/>
      <c r="D32" s="4" t="str">
        <f>Inertia!D40&amp;" "&amp;Inertia!E40&amp;IF(OR(Inertia!D39="A",Inertia!D39="B",Inertia!D39="C")," Brake"," Normal")</f>
        <v>50 Hz Normal</v>
      </c>
      <c r="E32" s="4"/>
      <c r="F32" s="4"/>
      <c r="G32" s="4"/>
      <c r="H32" s="4"/>
      <c r="I32" s="4"/>
      <c r="J32" s="4"/>
      <c r="K32" s="4"/>
      <c r="L32" s="4"/>
      <c r="M32" s="4"/>
    </row>
    <row r="33" spans="1:13">
      <c r="B33" s="347" t="s">
        <v>101</v>
      </c>
      <c r="C33" s="347"/>
      <c r="D33" s="347"/>
      <c r="E33" s="347"/>
      <c r="F33" s="347"/>
      <c r="G33" s="347"/>
      <c r="H33" s="347"/>
      <c r="I33" s="4"/>
      <c r="J33" s="4"/>
      <c r="K33" s="4"/>
      <c r="L33" s="4"/>
      <c r="M33" s="4"/>
    </row>
    <row r="34" spans="1:13">
      <c r="B34" s="4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</row>
    <row r="35" spans="1:13">
      <c r="A35" t="s">
        <v>89</v>
      </c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</row>
    <row r="36" spans="1:13">
      <c r="A36" s="21"/>
      <c r="B36" s="4" t="str">
        <f>IF(A36="LR","Syncronous torque limiter LR to provide protection to overload upstream fron the indexer","")</f>
        <v/>
      </c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</row>
    <row r="37" spans="1:13"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</row>
    <row r="38" spans="1:13">
      <c r="E38" s="4"/>
      <c r="F38" s="4"/>
      <c r="G38" s="4"/>
      <c r="H38" s="4"/>
      <c r="I38" s="4"/>
      <c r="J38" s="4"/>
      <c r="K38" s="4"/>
      <c r="L38" s="4"/>
      <c r="M38" s="4"/>
    </row>
    <row r="39" spans="1:13">
      <c r="A39" s="11" t="s">
        <v>95</v>
      </c>
      <c r="B39" s="11" t="s">
        <v>100</v>
      </c>
      <c r="C39" s="12" t="s">
        <v>102</v>
      </c>
      <c r="D39" s="11" t="s">
        <v>80</v>
      </c>
      <c r="E39" s="4"/>
      <c r="F39" s="4"/>
    </row>
    <row r="40" spans="1:13" ht="13">
      <c r="A40" s="3" t="str">
        <f ca="1">Inertia!I55</f>
        <v>ITP 75C4EZCX</v>
      </c>
      <c r="B40" s="17"/>
      <c r="C40" s="10"/>
      <c r="D40" s="14">
        <f>B40*C40</f>
        <v>0</v>
      </c>
      <c r="E40" s="4"/>
      <c r="F40" s="4" t="str">
        <f>IF(OR('Company name'!A28="Italy",'Company name'!A28="Germany"),"€",IF('Company name'!A28="India","INR",IF('Company name'!A28="USA","USD","")))</f>
        <v/>
      </c>
    </row>
    <row r="41" spans="1:13" ht="13">
      <c r="A41" s="3" t="str">
        <f>A36&amp;IF(A36="","",IF(F25=75," 1",IF(F25=10," 2",IF(F25=15," 3",IF(F25=20," 4","")))))</f>
        <v/>
      </c>
      <c r="B41" s="18"/>
      <c r="C41" s="13"/>
      <c r="D41" s="22">
        <f>B41*C41</f>
        <v>0</v>
      </c>
      <c r="E41" s="4"/>
      <c r="F41" s="4" t="str">
        <f>F40</f>
        <v/>
      </c>
    </row>
    <row r="42" spans="1:13" ht="13">
      <c r="A42" s="3"/>
      <c r="B42" s="18"/>
      <c r="C42" s="13"/>
      <c r="D42" s="15"/>
      <c r="E42" s="4"/>
      <c r="F42" s="4"/>
    </row>
    <row r="43" spans="1:13" ht="13">
      <c r="A43" s="1" t="s">
        <v>80</v>
      </c>
      <c r="B43" s="2"/>
      <c r="C43" s="7"/>
      <c r="D43" s="16">
        <f>SUM(D40:D41)</f>
        <v>0</v>
      </c>
      <c r="F43" t="str">
        <f>F41</f>
        <v/>
      </c>
    </row>
    <row r="44" spans="1:13" ht="13">
      <c r="A44" s="1"/>
      <c r="B44" s="1"/>
      <c r="C44" s="7"/>
      <c r="D44" s="4"/>
    </row>
    <row r="45" spans="1:13" ht="13">
      <c r="A45" s="1"/>
      <c r="B45" s="1"/>
      <c r="C45" s="7"/>
      <c r="D45" s="4"/>
    </row>
    <row r="46" spans="1:13" ht="13">
      <c r="A46" s="1"/>
      <c r="B46" s="1"/>
      <c r="C46" s="7"/>
      <c r="D46" s="4"/>
    </row>
    <row r="47" spans="1:13">
      <c r="A47" t="s">
        <v>81</v>
      </c>
      <c r="B47" s="8" t="s">
        <v>82</v>
      </c>
    </row>
    <row r="48" spans="1:13">
      <c r="A48" t="s">
        <v>83</v>
      </c>
      <c r="B48" t="s">
        <v>103</v>
      </c>
    </row>
    <row r="49" spans="1:10">
      <c r="A49" t="s">
        <v>84</v>
      </c>
      <c r="B49" t="str">
        <f>"EW "&amp;IF('Company name'!A28="Italy","Bagnolo Cremasco (CR)",IF('Company name'!A28="Germany"," 86641 Rain",IF('Company name'!A28="USA"," Sparta, NJ 07871",IF('Company name'!A28="India"," Pune 411-013","Bagnolo Cremasco (CR)"))))</f>
        <v>EW Bagnolo Cremasco (CR)</v>
      </c>
    </row>
    <row r="50" spans="1:10">
      <c r="A50" t="s">
        <v>85</v>
      </c>
      <c r="B50" t="s">
        <v>104</v>
      </c>
    </row>
    <row r="51" spans="1:10">
      <c r="A51" t="s">
        <v>86</v>
      </c>
      <c r="B51" s="426" t="s">
        <v>105</v>
      </c>
      <c r="C51" s="427"/>
      <c r="E51" s="431" t="str">
        <f>IF(LEFT(B51)="D","1st 30% with PO, 2nd 50% before shipment, 3rd balance net 30 days with credit approval ","")</f>
        <v/>
      </c>
      <c r="F51" s="431"/>
      <c r="G51" s="431"/>
      <c r="H51" s="431"/>
      <c r="I51" s="431"/>
      <c r="J51" s="431"/>
    </row>
    <row r="52" spans="1:10">
      <c r="A52" t="s">
        <v>87</v>
      </c>
      <c r="B52" t="s">
        <v>88</v>
      </c>
      <c r="E52" s="431"/>
      <c r="F52" s="431"/>
      <c r="G52" s="431"/>
      <c r="H52" s="431"/>
      <c r="I52" s="431"/>
      <c r="J52" s="431"/>
    </row>
  </sheetData>
  <sheetProtection password="B966" sheet="1"/>
  <dataConsolidate/>
  <mergeCells count="13">
    <mergeCell ref="G16:K16"/>
    <mergeCell ref="A20:J20"/>
    <mergeCell ref="B33:H33"/>
    <mergeCell ref="F10:K10"/>
    <mergeCell ref="B51:C51"/>
    <mergeCell ref="F11:K11"/>
    <mergeCell ref="G13:K13"/>
    <mergeCell ref="G14:K14"/>
    <mergeCell ref="G15:K15"/>
    <mergeCell ref="B23:I23"/>
    <mergeCell ref="F12:K12"/>
    <mergeCell ref="E51:J52"/>
    <mergeCell ref="C25:F25"/>
  </mergeCells>
  <phoneticPr fontId="1" type="noConversion"/>
  <conditionalFormatting sqref="D41:D42 A41:A42">
    <cfRule type="cellIs" dxfId="0" priority="1" stopIfTrue="1" operator="equal">
      <formula>0</formula>
    </cfRule>
  </conditionalFormatting>
  <dataValidations count="4">
    <dataValidation type="list" allowBlank="1" showInputMessage="1" showErrorMessage="1" sqref="A36" xr:uid="{00000000-0002-0000-0400-000000000000}">
      <formula1>"LR"</formula1>
    </dataValidation>
    <dataValidation type="list" allowBlank="1" showInputMessage="1" showErrorMessage="1" sqref="B51:C51" xr:uid="{00000000-0002-0000-0400-000001000000}">
      <formula1>"A - At time of order,B - 30 days with credit approval,C - via Credit Card,D - Deposit with PO required"</formula1>
    </dataValidation>
    <dataValidation type="list" allowBlank="1" showInputMessage="1" showErrorMessage="1" sqref="C26" xr:uid="{00000000-0002-0000-0400-000002000000}">
      <formula1>"PITP75A,PITP100A,PITP150A,PITO200A,PITP300A,PITP400A"</formula1>
    </dataValidation>
    <dataValidation type="list" allowBlank="1" showInputMessage="1" showErrorMessage="1" sqref="D26" xr:uid="{00000000-0002-0000-0400-000003000000}">
      <formula1>".dxf,.dwg,.igs,.sat,.stp,.x_t"</formula1>
    </dataValidation>
  </dataValidations>
  <pageMargins left="0.24" right="0.23" top="0.4" bottom="1" header="0.17" footer="0.5"/>
  <pageSetup paperSize="9" orientation="portrait"/>
  <cellWatches>
    <cellWatch r="B51"/>
  </cellWatches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2:I48"/>
  <sheetViews>
    <sheetView topLeftCell="F28" zoomScale="150" zoomScaleNormal="150" zoomScalePageLayoutView="150" workbookViewId="0">
      <selection activeCell="I46" sqref="I46"/>
    </sheetView>
  </sheetViews>
  <sheetFormatPr defaultColWidth="8.6328125" defaultRowHeight="13.5"/>
  <cols>
    <col min="1" max="1" width="31.6328125" style="25" bestFit="1" customWidth="1"/>
    <col min="2" max="2" width="39" style="25" bestFit="1" customWidth="1"/>
    <col min="3" max="3" width="34.36328125" style="25" bestFit="1" customWidth="1"/>
    <col min="4" max="4" width="31.6328125" style="25" bestFit="1" customWidth="1"/>
    <col min="5" max="5" width="52.1796875" style="25" bestFit="1" customWidth="1"/>
    <col min="6" max="6" width="34.1796875" style="25" bestFit="1" customWidth="1"/>
    <col min="7" max="7" width="27.36328125" style="25" bestFit="1" customWidth="1"/>
    <col min="8" max="8" width="3" style="25" bestFit="1" customWidth="1"/>
    <col min="9" max="9" width="31.6328125" style="25" bestFit="1" customWidth="1"/>
    <col min="10" max="10" width="7.453125" style="25" bestFit="1" customWidth="1"/>
    <col min="11" max="16384" width="8.6328125" style="25"/>
  </cols>
  <sheetData>
    <row r="2" spans="1:9">
      <c r="A2" s="31" t="s">
        <v>151</v>
      </c>
      <c r="B2" s="31" t="s">
        <v>210</v>
      </c>
      <c r="C2" s="31" t="s">
        <v>316</v>
      </c>
      <c r="D2" s="31" t="s">
        <v>317</v>
      </c>
      <c r="E2" s="31" t="s">
        <v>275</v>
      </c>
      <c r="F2" s="31" t="s">
        <v>231</v>
      </c>
      <c r="G2" s="31" t="s">
        <v>243</v>
      </c>
      <c r="H2" s="88"/>
      <c r="I2" s="31" t="s">
        <v>152</v>
      </c>
    </row>
    <row r="3" spans="1:9">
      <c r="A3" s="25" t="s">
        <v>10</v>
      </c>
      <c r="B3" s="25" t="s">
        <v>147</v>
      </c>
      <c r="C3" s="25" t="s">
        <v>204</v>
      </c>
      <c r="D3" s="25" t="s">
        <v>205</v>
      </c>
      <c r="E3" s="25" t="s">
        <v>175</v>
      </c>
      <c r="F3" s="225" t="s">
        <v>225</v>
      </c>
      <c r="G3" s="25" t="s">
        <v>244</v>
      </c>
      <c r="H3" s="25">
        <v>3</v>
      </c>
      <c r="I3" s="25" t="str">
        <f ca="1">INDIRECT(ADDRESS(H3,Inertia!$F$35,1))</f>
        <v>Firma ismi</v>
      </c>
    </row>
    <row r="4" spans="1:9">
      <c r="A4" s="25" t="s">
        <v>67</v>
      </c>
      <c r="B4" s="25" t="s">
        <v>148</v>
      </c>
      <c r="C4" s="25" t="s">
        <v>206</v>
      </c>
      <c r="D4" s="25" t="s">
        <v>207</v>
      </c>
      <c r="E4" s="25" t="s">
        <v>208</v>
      </c>
      <c r="F4" s="225" t="s">
        <v>374</v>
      </c>
      <c r="G4" s="25" t="s">
        <v>245</v>
      </c>
      <c r="H4" s="25">
        <f>H3+1</f>
        <v>4</v>
      </c>
      <c r="I4" s="25" t="str">
        <f ca="1">INDIRECT(ADDRESS(H4,Inertia!$F$35,1))</f>
        <v>İş tanımı</v>
      </c>
    </row>
    <row r="5" spans="1:9">
      <c r="A5" s="25" t="s">
        <v>74</v>
      </c>
      <c r="B5" s="25" t="s">
        <v>149</v>
      </c>
      <c r="C5" s="25" t="s">
        <v>203</v>
      </c>
      <c r="D5" s="25" t="s">
        <v>74</v>
      </c>
      <c r="E5" s="25" t="s">
        <v>160</v>
      </c>
      <c r="F5" s="225" t="s">
        <v>232</v>
      </c>
      <c r="G5" s="25" t="s">
        <v>246</v>
      </c>
      <c r="H5" s="25">
        <f t="shared" ref="H5:H40" si="0">H4+1</f>
        <v>5</v>
      </c>
      <c r="I5" s="25" t="str">
        <f ca="1">INDIRECT(ADDRESS(H5,Inertia!$F$35,1))</f>
        <v>Tarih</v>
      </c>
    </row>
    <row r="6" spans="1:9">
      <c r="A6" s="25" t="s">
        <v>150</v>
      </c>
      <c r="B6" s="25" t="s">
        <v>153</v>
      </c>
      <c r="C6" s="25" t="s">
        <v>212</v>
      </c>
      <c r="D6" s="25" t="s">
        <v>184</v>
      </c>
      <c r="E6" s="25" t="s">
        <v>192</v>
      </c>
      <c r="F6" s="225" t="s">
        <v>227</v>
      </c>
      <c r="G6" s="25" t="s">
        <v>247</v>
      </c>
      <c r="H6" s="25">
        <f t="shared" si="0"/>
        <v>6</v>
      </c>
      <c r="I6" s="25" t="str">
        <f ca="1">INDIRECT(ADDRESS(H6,Inertia!$F$35,1))</f>
        <v>Dil</v>
      </c>
    </row>
    <row r="7" spans="1:9">
      <c r="A7" s="25" t="s">
        <v>65</v>
      </c>
      <c r="B7" s="25" t="s">
        <v>120</v>
      </c>
      <c r="C7" s="25" t="s">
        <v>194</v>
      </c>
      <c r="D7" s="25" t="s">
        <v>193</v>
      </c>
      <c r="E7" s="25" t="s">
        <v>318</v>
      </c>
      <c r="F7" s="225" t="s">
        <v>226</v>
      </c>
      <c r="G7" s="25" t="s">
        <v>248</v>
      </c>
      <c r="H7" s="25">
        <f t="shared" si="0"/>
        <v>7</v>
      </c>
      <c r="I7" s="25" t="str">
        <f ca="1">INDIRECT(ADDRESS(H7,Inertia!$F$35,1))</f>
        <v>Birim</v>
      </c>
    </row>
    <row r="8" spans="1:9">
      <c r="A8" s="25" t="s">
        <v>27</v>
      </c>
      <c r="B8" s="25" t="s">
        <v>121</v>
      </c>
      <c r="C8" s="25" t="s">
        <v>138</v>
      </c>
      <c r="D8" s="25" t="s">
        <v>319</v>
      </c>
      <c r="E8" s="25" t="s">
        <v>146</v>
      </c>
      <c r="F8" s="225" t="s">
        <v>375</v>
      </c>
      <c r="G8" s="25" t="s">
        <v>249</v>
      </c>
      <c r="H8" s="25">
        <f t="shared" si="0"/>
        <v>8</v>
      </c>
      <c r="I8" s="25" t="str">
        <f ca="1">INDIRECT(ADDRESS(H8,Inertia!$F$35,1))</f>
        <v>İstasyon sayısı</v>
      </c>
    </row>
    <row r="9" spans="1:9">
      <c r="A9" s="25" t="s">
        <v>56</v>
      </c>
      <c r="B9" s="25" t="s">
        <v>122</v>
      </c>
      <c r="C9" s="25" t="s">
        <v>201</v>
      </c>
      <c r="D9" s="25" t="s">
        <v>202</v>
      </c>
      <c r="E9" s="25" t="s">
        <v>200</v>
      </c>
      <c r="F9" s="225" t="s">
        <v>376</v>
      </c>
      <c r="G9" s="25" t="s">
        <v>250</v>
      </c>
      <c r="H9" s="25">
        <f t="shared" si="0"/>
        <v>9</v>
      </c>
      <c r="I9" s="25" t="str">
        <f ca="1">INDIRECT(ADDRESS(H9,Inertia!$F$35,1))</f>
        <v>Çevrim hızı kodu</v>
      </c>
    </row>
    <row r="10" spans="1:9">
      <c r="A10" s="25" t="s">
        <v>36</v>
      </c>
      <c r="B10" s="25" t="s">
        <v>123</v>
      </c>
      <c r="C10" s="25" t="s">
        <v>139</v>
      </c>
      <c r="D10" s="25" t="s">
        <v>159</v>
      </c>
      <c r="E10" s="25" t="s">
        <v>158</v>
      </c>
      <c r="F10" s="225" t="s">
        <v>228</v>
      </c>
      <c r="G10" s="25" t="s">
        <v>251</v>
      </c>
      <c r="H10" s="25">
        <f t="shared" si="0"/>
        <v>10</v>
      </c>
      <c r="I10" s="25" t="str">
        <f ca="1">INDIRECT(ADDRESS(H10,Inertia!$F$35,1))</f>
        <v>Motor frekansı</v>
      </c>
    </row>
    <row r="11" spans="1:9">
      <c r="A11" s="25" t="s">
        <v>61</v>
      </c>
      <c r="B11" s="25" t="s">
        <v>124</v>
      </c>
      <c r="C11" s="25" t="s">
        <v>140</v>
      </c>
      <c r="D11" s="25" t="s">
        <v>176</v>
      </c>
      <c r="E11" s="25" t="s">
        <v>320</v>
      </c>
      <c r="F11" s="225" t="s">
        <v>229</v>
      </c>
      <c r="G11" s="25" t="s">
        <v>252</v>
      </c>
      <c r="H11" s="25">
        <f t="shared" si="0"/>
        <v>11</v>
      </c>
      <c r="I11" s="25" t="str">
        <f ca="1">INDIRECT(ADDRESS(H11,Inertia!$F$35,1))</f>
        <v>Çıkış açısı</v>
      </c>
    </row>
    <row r="12" spans="1:9">
      <c r="A12" s="25" t="s">
        <v>9</v>
      </c>
      <c r="B12" s="25" t="s">
        <v>125</v>
      </c>
      <c r="C12" s="25" t="s">
        <v>141</v>
      </c>
      <c r="D12" s="25" t="s">
        <v>164</v>
      </c>
      <c r="E12" s="25" t="s">
        <v>320</v>
      </c>
      <c r="F12" s="225" t="s">
        <v>377</v>
      </c>
      <c r="G12" s="25" t="s">
        <v>253</v>
      </c>
      <c r="H12" s="25">
        <f t="shared" si="0"/>
        <v>12</v>
      </c>
      <c r="I12" s="25" t="str">
        <f ca="1">INDIRECT(ADDRESS(H12,Inertia!$F$35,1))</f>
        <v>Atalet</v>
      </c>
    </row>
    <row r="13" spans="1:9">
      <c r="A13" s="25" t="s">
        <v>1</v>
      </c>
      <c r="B13" s="25" t="s">
        <v>126</v>
      </c>
      <c r="C13" s="25" t="s">
        <v>321</v>
      </c>
      <c r="D13" s="25" t="s">
        <v>166</v>
      </c>
      <c r="E13" s="25" t="s">
        <v>161</v>
      </c>
      <c r="F13" s="225" t="s">
        <v>230</v>
      </c>
      <c r="G13" s="25" t="s">
        <v>254</v>
      </c>
      <c r="H13" s="25">
        <f t="shared" si="0"/>
        <v>13</v>
      </c>
      <c r="I13" s="25" t="str">
        <f ca="1">INDIRECT(ADDRESS(H13,Inertia!$F$35,1))</f>
        <v>Tabla çapı</v>
      </c>
    </row>
    <row r="14" spans="1:9">
      <c r="A14" s="25" t="s">
        <v>395</v>
      </c>
      <c r="B14" s="25" t="s">
        <v>398</v>
      </c>
      <c r="C14" s="25" t="s">
        <v>186</v>
      </c>
      <c r="D14" s="25" t="s">
        <v>185</v>
      </c>
      <c r="E14" s="25" t="s">
        <v>199</v>
      </c>
      <c r="F14" s="225" t="s">
        <v>378</v>
      </c>
      <c r="G14" s="25" t="s">
        <v>255</v>
      </c>
      <c r="H14" s="25">
        <f t="shared" si="0"/>
        <v>14</v>
      </c>
      <c r="I14" s="25" t="str">
        <f ca="1">INDIRECT(ADDRESS(H14,Inertia!$F$35,1))</f>
        <v>İş parçası merkezden uzaklığı</v>
      </c>
    </row>
    <row r="15" spans="1:9">
      <c r="A15" s="25" t="s">
        <v>2</v>
      </c>
      <c r="B15" s="25" t="s">
        <v>127</v>
      </c>
      <c r="C15" s="25" t="s">
        <v>187</v>
      </c>
      <c r="D15" s="25" t="s">
        <v>177</v>
      </c>
      <c r="E15" s="25" t="s">
        <v>167</v>
      </c>
      <c r="F15" s="225" t="s">
        <v>233</v>
      </c>
      <c r="G15" s="25" t="s">
        <v>256</v>
      </c>
      <c r="H15" s="25">
        <f t="shared" si="0"/>
        <v>15</v>
      </c>
      <c r="I15" s="25" t="str">
        <f ca="1">INDIRECT(ADDRESS(H15,Inertia!$F$35,1))</f>
        <v>Tabla ağırlığı</v>
      </c>
    </row>
    <row r="16" spans="1:9">
      <c r="A16" s="25" t="s">
        <v>397</v>
      </c>
      <c r="B16" s="25" t="s">
        <v>396</v>
      </c>
      <c r="C16" s="25" t="s">
        <v>188</v>
      </c>
      <c r="D16" s="25" t="s">
        <v>162</v>
      </c>
      <c r="E16" s="25" t="s">
        <v>322</v>
      </c>
      <c r="F16" s="225" t="s">
        <v>234</v>
      </c>
      <c r="G16" s="25" t="s">
        <v>257</v>
      </c>
      <c r="H16" s="25">
        <f t="shared" si="0"/>
        <v>16</v>
      </c>
      <c r="I16" s="25" t="str">
        <f ca="1">INDIRECT(ADDRESS(H16,Inertia!$F$35,1))</f>
        <v>İş parçası ağırlığı</v>
      </c>
    </row>
    <row r="17" spans="1:9">
      <c r="A17" s="25" t="s">
        <v>169</v>
      </c>
      <c r="B17" s="25" t="s">
        <v>170</v>
      </c>
      <c r="C17" s="25" t="s">
        <v>145</v>
      </c>
      <c r="D17" s="25" t="s">
        <v>171</v>
      </c>
      <c r="E17" s="25" t="s">
        <v>323</v>
      </c>
      <c r="F17" s="225" t="s">
        <v>235</v>
      </c>
      <c r="G17" s="25" t="s">
        <v>258</v>
      </c>
      <c r="H17" s="25">
        <f t="shared" si="0"/>
        <v>17</v>
      </c>
      <c r="I17" s="25" t="str">
        <f ca="1">INDIRECT(ADDRESS(H17,Inertia!$F$35,1))</f>
        <v>Opsiyonel dış yük</v>
      </c>
    </row>
    <row r="18" spans="1:9">
      <c r="A18" s="25" t="s">
        <v>4</v>
      </c>
      <c r="B18" s="25" t="s">
        <v>129</v>
      </c>
      <c r="C18" s="25" t="s">
        <v>142</v>
      </c>
      <c r="D18" s="25" t="s">
        <v>178</v>
      </c>
      <c r="E18" s="25" t="s">
        <v>155</v>
      </c>
      <c r="F18" s="225" t="s">
        <v>237</v>
      </c>
      <c r="G18" s="25" t="s">
        <v>259</v>
      </c>
      <c r="H18" s="25">
        <f t="shared" si="0"/>
        <v>18</v>
      </c>
      <c r="I18" s="25" t="str">
        <f ca="1">INDIRECT(ADDRESS(H18,Inertia!$F$35,1))</f>
        <v>Eksenel yük</v>
      </c>
    </row>
    <row r="19" spans="1:9">
      <c r="A19" s="25" t="s">
        <v>5</v>
      </c>
      <c r="B19" s="25" t="s">
        <v>130</v>
      </c>
      <c r="C19" s="25" t="s">
        <v>143</v>
      </c>
      <c r="D19" s="25" t="s">
        <v>179</v>
      </c>
      <c r="E19" s="25" t="s">
        <v>156</v>
      </c>
      <c r="F19" s="225" t="s">
        <v>236</v>
      </c>
      <c r="G19" s="25" t="s">
        <v>260</v>
      </c>
      <c r="H19" s="25">
        <f t="shared" si="0"/>
        <v>19</v>
      </c>
      <c r="I19" s="25" t="str">
        <f ca="1">INDIRECT(ADDRESS(H19,Inertia!$F$35,1))</f>
        <v>Radyal yük</v>
      </c>
    </row>
    <row r="20" spans="1:9">
      <c r="A20" s="25" t="s">
        <v>107</v>
      </c>
      <c r="B20" s="25" t="s">
        <v>154</v>
      </c>
      <c r="C20" s="25" t="s">
        <v>191</v>
      </c>
      <c r="D20" s="25" t="s">
        <v>180</v>
      </c>
      <c r="E20" s="25" t="s">
        <v>172</v>
      </c>
      <c r="F20" s="225" t="s">
        <v>379</v>
      </c>
      <c r="G20" s="25" t="s">
        <v>261</v>
      </c>
      <c r="H20" s="25">
        <f t="shared" si="0"/>
        <v>20</v>
      </c>
      <c r="I20" s="25" t="str">
        <f ca="1">INDIRECT(ADDRESS(H20,Inertia!$F$35,1))</f>
        <v>Yarı çap</v>
      </c>
    </row>
    <row r="21" spans="1:9">
      <c r="A21" s="25" t="s">
        <v>7</v>
      </c>
      <c r="B21" s="25" t="s">
        <v>131</v>
      </c>
      <c r="C21" s="25" t="s">
        <v>144</v>
      </c>
      <c r="D21" s="25" t="s">
        <v>181</v>
      </c>
      <c r="E21" s="25" t="s">
        <v>157</v>
      </c>
      <c r="F21" s="225" t="s">
        <v>380</v>
      </c>
      <c r="G21" s="25" t="s">
        <v>262</v>
      </c>
      <c r="H21" s="25">
        <f t="shared" si="0"/>
        <v>21</v>
      </c>
      <c r="I21" s="25" t="str">
        <f ca="1">INDIRECT(ADDRESS(H21,Inertia!$F$35,1))</f>
        <v>Devirme momenti</v>
      </c>
    </row>
    <row r="22" spans="1:9">
      <c r="A22" s="25" t="s">
        <v>58</v>
      </c>
      <c r="B22" s="25" t="s">
        <v>132</v>
      </c>
      <c r="C22" s="25" t="s">
        <v>132</v>
      </c>
      <c r="D22" s="25" t="s">
        <v>165</v>
      </c>
      <c r="E22" s="25" t="s">
        <v>168</v>
      </c>
      <c r="F22" s="225" t="s">
        <v>238</v>
      </c>
      <c r="G22" s="25" t="s">
        <v>263</v>
      </c>
      <c r="H22" s="25">
        <f t="shared" si="0"/>
        <v>22</v>
      </c>
      <c r="I22" s="25" t="str">
        <f ca="1">INDIRECT(ADDRESS(H22,Inertia!$F$35,1))</f>
        <v>Ağırlık</v>
      </c>
    </row>
    <row r="23" spans="1:9">
      <c r="A23" s="25" t="s">
        <v>9</v>
      </c>
      <c r="B23" s="25" t="s">
        <v>125</v>
      </c>
      <c r="C23" s="25" t="s">
        <v>141</v>
      </c>
      <c r="D23" s="25" t="s">
        <v>164</v>
      </c>
      <c r="E23" s="25" t="s">
        <v>320</v>
      </c>
      <c r="F23" s="225" t="s">
        <v>377</v>
      </c>
      <c r="G23" s="25" t="s">
        <v>253</v>
      </c>
      <c r="H23" s="25">
        <f t="shared" si="0"/>
        <v>23</v>
      </c>
      <c r="I23" s="25" t="str">
        <f ca="1">INDIRECT(ADDRESS(H23,Inertia!$F$35,1))</f>
        <v>Atalet</v>
      </c>
    </row>
    <row r="24" spans="1:9">
      <c r="A24" s="25" t="s">
        <v>91</v>
      </c>
      <c r="B24" s="25" t="s">
        <v>133</v>
      </c>
      <c r="C24" s="25" t="s">
        <v>137</v>
      </c>
      <c r="D24" s="25" t="s">
        <v>163</v>
      </c>
      <c r="E24" s="25" t="s">
        <v>324</v>
      </c>
      <c r="F24" s="225" t="s">
        <v>381</v>
      </c>
      <c r="G24" s="25" t="s">
        <v>264</v>
      </c>
      <c r="H24" s="25">
        <f t="shared" si="0"/>
        <v>24</v>
      </c>
      <c r="I24" s="25" t="str">
        <f ca="1">INDIRECT(ADDRESS(H24,Inertia!$F$35,1))</f>
        <v>Atalet yarı çapı</v>
      </c>
    </row>
    <row r="25" spans="1:9">
      <c r="A25" s="25" t="s">
        <v>59</v>
      </c>
      <c r="B25" s="25" t="s">
        <v>134</v>
      </c>
      <c r="C25" s="25" t="s">
        <v>190</v>
      </c>
      <c r="D25" s="25" t="s">
        <v>182</v>
      </c>
      <c r="E25" s="25" t="s">
        <v>173</v>
      </c>
      <c r="F25" s="225" t="s">
        <v>382</v>
      </c>
      <c r="G25" s="25" t="s">
        <v>265</v>
      </c>
      <c r="H25" s="25">
        <f t="shared" si="0"/>
        <v>25</v>
      </c>
      <c r="I25" s="25" t="str">
        <f ca="1">INDIRECT(ADDRESS(H25,Inertia!$F$35,1))</f>
        <v>Tabla</v>
      </c>
    </row>
    <row r="26" spans="1:9">
      <c r="A26" s="25" t="s">
        <v>400</v>
      </c>
      <c r="B26" s="25" t="s">
        <v>399</v>
      </c>
      <c r="C26" s="25" t="s">
        <v>189</v>
      </c>
      <c r="D26" s="25" t="s">
        <v>183</v>
      </c>
      <c r="E26" s="25" t="s">
        <v>174</v>
      </c>
      <c r="F26" s="225" t="s">
        <v>239</v>
      </c>
      <c r="G26" s="25" t="s">
        <v>266</v>
      </c>
      <c r="H26" s="25">
        <f t="shared" si="0"/>
        <v>26</v>
      </c>
      <c r="I26" s="25" t="str">
        <f ca="1">INDIRECT(ADDRESS(H26,Inertia!$F$35,1))</f>
        <v>İş parçası</v>
      </c>
    </row>
    <row r="27" spans="1:9">
      <c r="A27" s="25" t="s">
        <v>60</v>
      </c>
      <c r="B27" s="25" t="s">
        <v>135</v>
      </c>
      <c r="C27" s="25" t="s">
        <v>60</v>
      </c>
      <c r="D27" s="25" t="s">
        <v>135</v>
      </c>
      <c r="E27" s="25" t="s">
        <v>197</v>
      </c>
      <c r="F27" s="225" t="s">
        <v>240</v>
      </c>
      <c r="G27" s="25" t="s">
        <v>267</v>
      </c>
      <c r="H27" s="25">
        <f t="shared" si="0"/>
        <v>27</v>
      </c>
      <c r="I27" s="25" t="str">
        <f ca="1">INDIRECT(ADDRESS(H27,Inertia!$F$35,1))</f>
        <v>Toplam</v>
      </c>
    </row>
    <row r="28" spans="1:9">
      <c r="A28" s="25" t="s">
        <v>92</v>
      </c>
      <c r="B28" s="25" t="s">
        <v>136</v>
      </c>
      <c r="C28" s="25" t="s">
        <v>195</v>
      </c>
      <c r="D28" s="25" t="s">
        <v>196</v>
      </c>
      <c r="E28" s="25" t="s">
        <v>198</v>
      </c>
      <c r="F28" s="225" t="s">
        <v>241</v>
      </c>
      <c r="G28" s="25" t="s">
        <v>268</v>
      </c>
      <c r="H28" s="25">
        <f t="shared" si="0"/>
        <v>28</v>
      </c>
      <c r="I28" s="25" t="str">
        <f ca="1">INDIRECT(ADDRESS(H28,Inertia!$F$35,1))</f>
        <v>Önerilen model</v>
      </c>
    </row>
    <row r="29" spans="1:9">
      <c r="A29" s="25" t="s">
        <v>272</v>
      </c>
      <c r="B29" s="25" t="s">
        <v>273</v>
      </c>
      <c r="C29" s="25" t="s">
        <v>271</v>
      </c>
      <c r="D29" s="25" t="s">
        <v>274</v>
      </c>
      <c r="E29" s="25" t="s">
        <v>287</v>
      </c>
      <c r="F29" s="225" t="s">
        <v>242</v>
      </c>
      <c r="G29" s="25" t="s">
        <v>269</v>
      </c>
      <c r="H29" s="25">
        <f t="shared" si="0"/>
        <v>29</v>
      </c>
      <c r="I29" s="25" t="str">
        <f ca="1">INDIRECT(ADDRESS(H29,Inertia!$F$35,1))</f>
        <v>Tekrarlama hassasiyeti</v>
      </c>
    </row>
    <row r="30" spans="1:9">
      <c r="A30" s="25" t="s">
        <v>347</v>
      </c>
      <c r="B30" s="25" t="s">
        <v>280</v>
      </c>
      <c r="C30" s="25" t="s">
        <v>282</v>
      </c>
      <c r="D30" s="25" t="s">
        <v>279</v>
      </c>
      <c r="E30" s="25" t="s">
        <v>286</v>
      </c>
      <c r="F30" s="225" t="s">
        <v>383</v>
      </c>
      <c r="G30" t="s">
        <v>362</v>
      </c>
      <c r="H30" s="25">
        <f t="shared" si="0"/>
        <v>30</v>
      </c>
      <c r="I30" s="25" t="str">
        <f ca="1">INDIRECT(ADDRESS(H30,Inertia!$F$35,1))</f>
        <v>Müşteri tarafından desteklenmeli</v>
      </c>
    </row>
    <row r="31" spans="1:9">
      <c r="A31" s="25" t="s">
        <v>276</v>
      </c>
      <c r="B31" s="25" t="s">
        <v>278</v>
      </c>
      <c r="C31" s="25" t="s">
        <v>278</v>
      </c>
      <c r="D31" s="25" t="s">
        <v>348</v>
      </c>
      <c r="E31" s="25" t="s">
        <v>284</v>
      </c>
      <c r="F31" s="225" t="s">
        <v>384</v>
      </c>
      <c r="G31" t="s">
        <v>363</v>
      </c>
      <c r="H31" s="25">
        <f t="shared" si="0"/>
        <v>31</v>
      </c>
      <c r="I31" s="25" t="str">
        <f ca="1">INDIRECT(ADDRESS(H31,Inertia!$F$35,1))</f>
        <v>0 - Evet</v>
      </c>
    </row>
    <row r="32" spans="1:9">
      <c r="A32" s="25" t="s">
        <v>277</v>
      </c>
      <c r="B32" s="25" t="s">
        <v>277</v>
      </c>
      <c r="C32" s="25" t="s">
        <v>277</v>
      </c>
      <c r="D32" s="25" t="s">
        <v>277</v>
      </c>
      <c r="E32" s="25" t="s">
        <v>285</v>
      </c>
      <c r="F32" s="225" t="s">
        <v>385</v>
      </c>
      <c r="G32" t="s">
        <v>364</v>
      </c>
      <c r="H32" s="25">
        <f t="shared" si="0"/>
        <v>32</v>
      </c>
      <c r="I32" s="25" t="str">
        <f ca="1">INDIRECT(ADDRESS(H32,Inertia!$F$35,1))</f>
        <v>1 - Hayır</v>
      </c>
    </row>
    <row r="33" spans="1:9">
      <c r="A33" s="25" t="s">
        <v>281</v>
      </c>
      <c r="B33" s="25" t="s">
        <v>302</v>
      </c>
      <c r="C33" s="25" t="s">
        <v>283</v>
      </c>
      <c r="D33" s="25" t="s">
        <v>281</v>
      </c>
      <c r="E33" s="25" t="s">
        <v>288</v>
      </c>
      <c r="F33" s="225" t="s">
        <v>386</v>
      </c>
      <c r="G33" t="s">
        <v>365</v>
      </c>
      <c r="H33" s="25">
        <f t="shared" si="0"/>
        <v>33</v>
      </c>
      <c r="I33" s="25" t="str">
        <f ca="1">INDIRECT(ADDRESS(H33,Inertia!$F$35,1))</f>
        <v>Müşteri tarafından desteklemelidir</v>
      </c>
    </row>
    <row r="34" spans="1:9">
      <c r="A34" s="25" t="s">
        <v>290</v>
      </c>
      <c r="B34" s="25" t="s">
        <v>291</v>
      </c>
      <c r="C34" s="25" t="s">
        <v>292</v>
      </c>
      <c r="D34" s="25" t="s">
        <v>293</v>
      </c>
      <c r="E34" s="25" t="s">
        <v>294</v>
      </c>
      <c r="F34" s="225" t="s">
        <v>387</v>
      </c>
      <c r="G34" t="s">
        <v>366</v>
      </c>
      <c r="H34" s="25">
        <f t="shared" si="0"/>
        <v>34</v>
      </c>
      <c r="I34" s="25" t="str">
        <f ca="1">INDIRECT(ADDRESS(H34,Inertia!$F$35,1))</f>
        <v>Atalet hesaplama bölümündeki bilgiler</v>
      </c>
    </row>
    <row r="35" spans="1:9">
      <c r="A35" s="25" t="s">
        <v>343</v>
      </c>
      <c r="B35" s="25" t="s">
        <v>346</v>
      </c>
      <c r="C35" s="25" t="s">
        <v>296</v>
      </c>
      <c r="D35" s="25" t="s">
        <v>297</v>
      </c>
      <c r="E35" s="25" t="s">
        <v>298</v>
      </c>
      <c r="F35" s="225" t="s">
        <v>388</v>
      </c>
      <c r="G35" t="s">
        <v>367</v>
      </c>
      <c r="H35" s="25">
        <f t="shared" si="0"/>
        <v>35</v>
      </c>
      <c r="I35" s="25" t="str">
        <f ca="1">INDIRECT(ADDRESS(H35,Inertia!$F$35,1))</f>
        <v>Emniyetli durma zamanı</v>
      </c>
    </row>
    <row r="36" spans="1:9">
      <c r="A36" s="25" t="s">
        <v>349</v>
      </c>
      <c r="B36" s="25" t="s">
        <v>350</v>
      </c>
      <c r="C36" s="25" t="s">
        <v>351</v>
      </c>
      <c r="D36" s="25" t="s">
        <v>352</v>
      </c>
      <c r="E36" s="25" t="s">
        <v>353</v>
      </c>
      <c r="F36" s="225" t="s">
        <v>389</v>
      </c>
      <c r="G36" t="s">
        <v>368</v>
      </c>
      <c r="H36" s="25">
        <f t="shared" si="0"/>
        <v>36</v>
      </c>
      <c r="I36" s="25" t="str">
        <f ca="1">INDIRECT(ADDRESS(H36,Inertia!$F$35,1))</f>
        <v>Motor tipi</v>
      </c>
    </row>
    <row r="37" spans="1:9">
      <c r="A37" s="25" t="s">
        <v>354</v>
      </c>
      <c r="B37" s="25" t="s">
        <v>355</v>
      </c>
      <c r="C37" s="25" t="s">
        <v>356</v>
      </c>
      <c r="D37" s="25" t="s">
        <v>354</v>
      </c>
      <c r="E37" s="25" t="s">
        <v>354</v>
      </c>
      <c r="F37" s="225" t="s">
        <v>390</v>
      </c>
      <c r="G37" t="s">
        <v>369</v>
      </c>
      <c r="H37" s="25">
        <f t="shared" si="0"/>
        <v>37</v>
      </c>
      <c r="I37" s="25" t="str">
        <f ca="1">INDIRECT(ADDRESS(H37,Inertia!$F$35,1))</f>
        <v>N - Normal</v>
      </c>
    </row>
    <row r="38" spans="1:9">
      <c r="A38" s="25" t="s">
        <v>357</v>
      </c>
      <c r="B38" s="25" t="s">
        <v>358</v>
      </c>
      <c r="C38" s="25" t="s">
        <v>359</v>
      </c>
      <c r="D38" s="25" t="s">
        <v>360</v>
      </c>
      <c r="E38" s="25" t="s">
        <v>361</v>
      </c>
      <c r="F38" s="225" t="s">
        <v>391</v>
      </c>
      <c r="G38" t="s">
        <v>370</v>
      </c>
      <c r="H38" s="25">
        <f t="shared" si="0"/>
        <v>38</v>
      </c>
      <c r="I38" s="25" t="str">
        <f ca="1">INDIRECT(ADDRESS(H38,Inertia!$F$35,1))</f>
        <v>Z - Frenli</v>
      </c>
    </row>
    <row r="39" spans="1:9">
      <c r="A39" s="25" t="s">
        <v>393</v>
      </c>
      <c r="B39" s="25" t="s">
        <v>392</v>
      </c>
      <c r="C39" s="25" t="s">
        <v>393</v>
      </c>
      <c r="D39" s="25" t="s">
        <v>393</v>
      </c>
      <c r="E39" s="25" t="s">
        <v>393</v>
      </c>
      <c r="F39" s="225" t="s">
        <v>447</v>
      </c>
      <c r="G39" s="25" t="s">
        <v>401</v>
      </c>
      <c r="H39" s="25">
        <f t="shared" si="0"/>
        <v>39</v>
      </c>
      <c r="I39" s="25" t="str">
        <f ca="1">INDIRECT(ADDRESS(H39,Inertia!$F$35,1))</f>
        <v>İş parçası tutucu merkezden uzaklığı</v>
      </c>
    </row>
    <row r="40" spans="1:9">
      <c r="A40" s="25" t="s">
        <v>394</v>
      </c>
      <c r="B40" s="25" t="s">
        <v>128</v>
      </c>
      <c r="C40" s="25" t="s">
        <v>394</v>
      </c>
      <c r="D40" s="25" t="s">
        <v>394</v>
      </c>
      <c r="E40" s="25" t="s">
        <v>394</v>
      </c>
      <c r="F40" s="225" t="s">
        <v>448</v>
      </c>
      <c r="G40" s="25" t="s">
        <v>402</v>
      </c>
      <c r="H40" s="25">
        <f t="shared" si="0"/>
        <v>40</v>
      </c>
      <c r="I40" s="25" t="str">
        <f ca="1">INDIRECT(ADDRESS(H40,Inertia!$F$35,1))</f>
        <v>İş parçası tutucusu ağırlığı</v>
      </c>
    </row>
    <row r="41" spans="1:9">
      <c r="A41" s="25" t="s">
        <v>407</v>
      </c>
      <c r="B41" s="25" t="s">
        <v>408</v>
      </c>
      <c r="C41" s="25" t="s">
        <v>409</v>
      </c>
      <c r="D41" s="25" t="s">
        <v>410</v>
      </c>
      <c r="E41" s="25" t="s">
        <v>411</v>
      </c>
      <c r="F41" s="225" t="s">
        <v>413</v>
      </c>
      <c r="G41" s="25" t="s">
        <v>412</v>
      </c>
      <c r="H41" s="25">
        <v>41</v>
      </c>
      <c r="I41" s="25" t="str">
        <f ca="1">INDIRECT(ADDRESS(H41,Inertia!$F$35,1))</f>
        <v>Motor redüktör</v>
      </c>
    </row>
    <row r="42" spans="1:9">
      <c r="A42" s="25" t="s">
        <v>422</v>
      </c>
      <c r="B42" s="25" t="s">
        <v>424</v>
      </c>
      <c r="C42" s="25" t="s">
        <v>426</v>
      </c>
      <c r="D42" s="25" t="s">
        <v>428</v>
      </c>
      <c r="E42" s="25" t="s">
        <v>430</v>
      </c>
      <c r="F42" s="225" t="s">
        <v>445</v>
      </c>
      <c r="G42" s="25" t="s">
        <v>432</v>
      </c>
      <c r="H42" s="25">
        <v>42</v>
      </c>
      <c r="I42" s="25" t="str">
        <f ca="1">INDIRECT(ADDRESS(H42,Inertia!$F$35,1))</f>
        <v xml:space="preserve">Çevrim hızı </v>
      </c>
    </row>
    <row r="43" spans="1:9">
      <c r="A43" s="25" t="s">
        <v>423</v>
      </c>
      <c r="B43" s="25" t="s">
        <v>425</v>
      </c>
      <c r="C43" s="25" t="s">
        <v>427</v>
      </c>
      <c r="D43" s="25" t="s">
        <v>429</v>
      </c>
      <c r="E43" s="25" t="s">
        <v>431</v>
      </c>
      <c r="F43" s="225" t="s">
        <v>446</v>
      </c>
      <c r="G43" s="25" t="s">
        <v>433</v>
      </c>
      <c r="H43" s="25">
        <v>43</v>
      </c>
      <c r="I43" s="25" t="str">
        <f ca="1">INDIRECT(ADDRESS(H43,Inertia!$F$35,1))</f>
        <v xml:space="preserve">Hareket hızı </v>
      </c>
    </row>
    <row r="44" spans="1:9">
      <c r="A44" s="25" t="s">
        <v>450</v>
      </c>
      <c r="B44" s="25" t="s">
        <v>451</v>
      </c>
      <c r="C44" s="25" t="s">
        <v>452</v>
      </c>
      <c r="D44" s="25" t="s">
        <v>453</v>
      </c>
      <c r="E44" s="25" t="s">
        <v>454</v>
      </c>
      <c r="F44" s="25" t="s">
        <v>455</v>
      </c>
      <c r="G44" s="25" t="s">
        <v>450</v>
      </c>
      <c r="H44" s="25">
        <v>44</v>
      </c>
      <c r="I44" s="25" t="str">
        <f ca="1">INDIRECT(ADDRESS(H44,Inertia!$F$35,1))</f>
        <v>Phase cam</v>
      </c>
    </row>
    <row r="45" spans="1:9">
      <c r="A45" s="25" t="s">
        <v>463</v>
      </c>
      <c r="B45" s="25" t="s">
        <v>464</v>
      </c>
      <c r="C45" s="25" t="s">
        <v>465</v>
      </c>
      <c r="D45" s="25" t="s">
        <v>466</v>
      </c>
      <c r="E45" s="25" t="s">
        <v>467</v>
      </c>
      <c r="F45" s="25" t="str">
        <f>A45</f>
        <v>Torque limiter</v>
      </c>
      <c r="G45" s="25" t="str">
        <f>A45</f>
        <v>Torque limiter</v>
      </c>
      <c r="H45" s="25">
        <v>45</v>
      </c>
      <c r="I45" s="25" t="str">
        <f ca="1">INDIRECT(ADDRESS(H45,Inertia!$F$35,1))</f>
        <v>Torque limiter</v>
      </c>
    </row>
    <row r="46" spans="1:9">
      <c r="A46" s="25" t="s">
        <v>469</v>
      </c>
      <c r="B46" s="25" t="s">
        <v>470</v>
      </c>
      <c r="C46" s="25" t="s">
        <v>470</v>
      </c>
      <c r="D46" s="25" t="s">
        <v>471</v>
      </c>
      <c r="E46" s="25" t="s">
        <v>472</v>
      </c>
      <c r="F46" s="225" t="s">
        <v>474</v>
      </c>
      <c r="G46" t="s">
        <v>476</v>
      </c>
      <c r="H46" s="25">
        <v>46</v>
      </c>
      <c r="I46" s="25" t="str">
        <f ca="1">INDIRECT(ADDRESS(H46,Inertia!$F$35,1))</f>
        <v>G - Evet</v>
      </c>
    </row>
    <row r="47" spans="1:9">
      <c r="A47" s="25" t="s">
        <v>468</v>
      </c>
      <c r="B47" s="25" t="s">
        <v>468</v>
      </c>
      <c r="C47" s="25" t="s">
        <v>468</v>
      </c>
      <c r="D47" s="25" t="s">
        <v>468</v>
      </c>
      <c r="E47" s="25" t="s">
        <v>473</v>
      </c>
      <c r="F47" s="225" t="s">
        <v>475</v>
      </c>
      <c r="G47" t="s">
        <v>477</v>
      </c>
      <c r="H47" s="25">
        <v>47</v>
      </c>
      <c r="I47" s="25" t="str">
        <f ca="1">INDIRECT(ADDRESS(H47,Inertia!$F$35,1))</f>
        <v>X - Hayır</v>
      </c>
    </row>
    <row r="48" spans="1:9">
      <c r="G48" s="335" t="s">
        <v>478</v>
      </c>
    </row>
  </sheetData>
  <sheetProtection algorithmName="SHA-512" hashValue="B8bZy5tBWanPCuNfeGW9CmDTnM4bd6ANV4jdasOkKj4oRllcHv93fVK25rEDGch/i1VLVsIN0thw0QaBvFQBWA==" saltValue="foL1sCC5+xSN1axTgLdKaQ==" spinCount="100000" sheet="1" objects="1" scenarios="1"/>
  <phoneticPr fontId="1" type="noConversion"/>
  <pageMargins left="0.75" right="0.75" top="1" bottom="1" header="0.5" footer="0.5"/>
  <pageSetup paperSize="9" orientation="portrait" horizontalDpi="1200" verticalDpi="1200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6</vt:i4>
      </vt:variant>
      <vt:variant>
        <vt:lpstr>Adlandırılmış Aralıklar</vt:lpstr>
      </vt:variant>
      <vt:variant>
        <vt:i4>2</vt:i4>
      </vt:variant>
    </vt:vector>
  </HeadingPairs>
  <TitlesOfParts>
    <vt:vector size="8" baseType="lpstr">
      <vt:lpstr>Company name</vt:lpstr>
      <vt:lpstr>Inertia Calculator</vt:lpstr>
      <vt:lpstr>Inertia</vt:lpstr>
      <vt:lpstr>Selection</vt:lpstr>
      <vt:lpstr>Offer</vt:lpstr>
      <vt:lpstr>Text</vt:lpstr>
      <vt:lpstr>Selection!VelMotore</vt:lpstr>
      <vt:lpstr>Inertia!Yazdırma_Alanı</vt:lpstr>
    </vt:vector>
  </TitlesOfParts>
  <Company>MOAS Jablonec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formulář-stanovení velikosti karuselu</dc:subject>
  <dc:creator>Miloslav Novák</dc:creator>
  <cp:lastModifiedBy>Asus</cp:lastModifiedBy>
  <cp:lastPrinted>2021-06-25T12:42:17Z</cp:lastPrinted>
  <dcterms:created xsi:type="dcterms:W3CDTF">2000-01-20T10:20:33Z</dcterms:created>
  <dcterms:modified xsi:type="dcterms:W3CDTF">2021-09-24T11:28:45Z</dcterms:modified>
</cp:coreProperties>
</file>